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01_Hauptordner - Manfred\Website Manfred Hennig\3_Wordpress\"/>
    </mc:Choice>
  </mc:AlternateContent>
  <xr:revisionPtr revIDLastSave="0" documentId="8_{AF08187D-9A09-4E41-A850-2AA4B2DE2C40}" xr6:coauthVersionLast="47" xr6:coauthVersionMax="47" xr10:uidLastSave="{00000000-0000-0000-0000-000000000000}"/>
  <bookViews>
    <workbookView xWindow="28680" yWindow="270" windowWidth="25440" windowHeight="15270" tabRatio="500" xr2:uid="{00000000-000D-0000-FFFF-FFFF00000000}"/>
  </bookViews>
  <sheets>
    <sheet name="Legende" sheetId="1" r:id="rId1"/>
    <sheet name="Annahmen" sheetId="2" r:id="rId2"/>
    <sheet name="Hochrechnung" sheetId="3" r:id="rId3"/>
    <sheet name="Auszahlplan" sheetId="4" r:id="rId4"/>
    <sheet name="Grafik" sheetId="5" r:id="rId5"/>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9" i="4" l="1"/>
  <c r="C29" i="4" s="1"/>
  <c r="A29" i="4"/>
  <c r="B28" i="4"/>
  <c r="C28" i="4" s="1"/>
  <c r="G28" i="4" s="1"/>
  <c r="A28" i="4"/>
  <c r="B27" i="4"/>
  <c r="C27" i="4" s="1"/>
  <c r="D27" i="4" s="1"/>
  <c r="F27" i="4" s="1"/>
  <c r="A27" i="4"/>
  <c r="D26" i="4"/>
  <c r="E26" i="4" s="1"/>
  <c r="B26" i="4"/>
  <c r="C26" i="4" s="1"/>
  <c r="G26" i="4" s="1"/>
  <c r="A26" i="4"/>
  <c r="B25" i="4"/>
  <c r="C25" i="4" s="1"/>
  <c r="D25" i="4" s="1"/>
  <c r="F25" i="4" s="1"/>
  <c r="A25" i="4"/>
  <c r="B24" i="4"/>
  <c r="A24" i="4"/>
  <c r="B23" i="4"/>
  <c r="A23" i="4"/>
  <c r="B22" i="4"/>
  <c r="A22" i="4"/>
  <c r="B21" i="4"/>
  <c r="A21" i="4"/>
  <c r="B20" i="4"/>
  <c r="A20" i="4"/>
  <c r="B19" i="4"/>
  <c r="A19" i="4"/>
  <c r="B18" i="4"/>
  <c r="A18" i="4"/>
  <c r="B17" i="4"/>
  <c r="A17" i="4"/>
  <c r="B16" i="4"/>
  <c r="A16" i="4"/>
  <c r="B15" i="4"/>
  <c r="A15" i="4"/>
  <c r="B14" i="4"/>
  <c r="A14" i="4"/>
  <c r="B13" i="4"/>
  <c r="A13" i="4"/>
  <c r="B12" i="4"/>
  <c r="A12" i="4"/>
  <c r="B11" i="4"/>
  <c r="A11" i="4"/>
  <c r="B10" i="4"/>
  <c r="A10" i="4"/>
  <c r="B9" i="4"/>
  <c r="A9" i="4"/>
  <c r="B8" i="4"/>
  <c r="A8" i="4"/>
  <c r="B7" i="4"/>
  <c r="A7" i="4"/>
  <c r="B6" i="4"/>
  <c r="A6" i="4"/>
  <c r="B5" i="4"/>
  <c r="A5" i="4"/>
  <c r="C53" i="3"/>
  <c r="J53" i="3" s="1"/>
  <c r="L53" i="3" s="1"/>
  <c r="B53" i="3"/>
  <c r="D53" i="3" s="1"/>
  <c r="G53" i="3" s="1"/>
  <c r="A53" i="3"/>
  <c r="B52" i="3"/>
  <c r="D52" i="3" s="1"/>
  <c r="A52" i="3"/>
  <c r="C51" i="3"/>
  <c r="J51" i="3" s="1"/>
  <c r="L51" i="3" s="1"/>
  <c r="B51" i="3"/>
  <c r="D51" i="3" s="1"/>
  <c r="A51" i="3"/>
  <c r="B50" i="3"/>
  <c r="D50" i="3" s="1"/>
  <c r="A50" i="3"/>
  <c r="C49" i="3"/>
  <c r="J49" i="3" s="1"/>
  <c r="L49" i="3" s="1"/>
  <c r="B49" i="3"/>
  <c r="D49" i="3" s="1"/>
  <c r="F49" i="3" s="1"/>
  <c r="I49" i="3" s="1"/>
  <c r="A49" i="3"/>
  <c r="B48" i="3"/>
  <c r="C48" i="3" s="1"/>
  <c r="J48" i="3" s="1"/>
  <c r="L48" i="3" s="1"/>
  <c r="A48" i="3"/>
  <c r="B47" i="3"/>
  <c r="D47" i="3" s="1"/>
  <c r="A47" i="3"/>
  <c r="D46" i="3"/>
  <c r="B46" i="3"/>
  <c r="A46" i="3"/>
  <c r="B45" i="3"/>
  <c r="D45" i="3" s="1"/>
  <c r="A45" i="3"/>
  <c r="B44" i="3"/>
  <c r="D44" i="3" s="1"/>
  <c r="E44" i="3" s="1"/>
  <c r="A44" i="3"/>
  <c r="B43" i="3"/>
  <c r="D43" i="3" s="1"/>
  <c r="A43" i="3"/>
  <c r="B42" i="3"/>
  <c r="D42" i="3" s="1"/>
  <c r="A42" i="3"/>
  <c r="B41" i="3"/>
  <c r="D41" i="3" s="1"/>
  <c r="A41" i="3"/>
  <c r="D40" i="3"/>
  <c r="E40" i="3" s="1"/>
  <c r="B40" i="3"/>
  <c r="A40" i="3"/>
  <c r="B39" i="3"/>
  <c r="D39" i="3" s="1"/>
  <c r="E39" i="3" s="1"/>
  <c r="A39" i="3"/>
  <c r="B38" i="3"/>
  <c r="D38" i="3" s="1"/>
  <c r="A38" i="3"/>
  <c r="B37" i="3"/>
  <c r="D37" i="3" s="1"/>
  <c r="A37" i="3"/>
  <c r="B36" i="3"/>
  <c r="D36" i="3" s="1"/>
  <c r="E36" i="3" s="1"/>
  <c r="A36" i="3"/>
  <c r="B35" i="3"/>
  <c r="D35" i="3" s="1"/>
  <c r="E35" i="3" s="1"/>
  <c r="A35" i="3"/>
  <c r="B34" i="3"/>
  <c r="D34" i="3" s="1"/>
  <c r="A34" i="3"/>
  <c r="D33" i="3"/>
  <c r="B33" i="3"/>
  <c r="A33" i="3"/>
  <c r="B32" i="3"/>
  <c r="D32" i="3" s="1"/>
  <c r="E32" i="3" s="1"/>
  <c r="A32" i="3"/>
  <c r="D31" i="3"/>
  <c r="E31" i="3" s="1"/>
  <c r="B31" i="3"/>
  <c r="A31" i="3"/>
  <c r="B30" i="3"/>
  <c r="D30" i="3" s="1"/>
  <c r="A30" i="3"/>
  <c r="B29" i="3"/>
  <c r="D29" i="3" s="1"/>
  <c r="A29" i="3"/>
  <c r="B28" i="3"/>
  <c r="D28" i="3" s="1"/>
  <c r="E28" i="3" s="1"/>
  <c r="A28" i="3"/>
  <c r="B27" i="3"/>
  <c r="D27" i="3" s="1"/>
  <c r="E27" i="3" s="1"/>
  <c r="A27" i="3"/>
  <c r="D26" i="3"/>
  <c r="B26" i="3"/>
  <c r="A26" i="3"/>
  <c r="B25" i="3"/>
  <c r="D25" i="3" s="1"/>
  <c r="A25" i="3"/>
  <c r="D24" i="3"/>
  <c r="E24" i="3" s="1"/>
  <c r="B24" i="3"/>
  <c r="A24" i="3"/>
  <c r="B23" i="3"/>
  <c r="D23" i="3" s="1"/>
  <c r="E23" i="3" s="1"/>
  <c r="A23" i="3"/>
  <c r="B22" i="3"/>
  <c r="D22" i="3" s="1"/>
  <c r="A22" i="3"/>
  <c r="B21" i="3"/>
  <c r="D21" i="3" s="1"/>
  <c r="A21" i="3"/>
  <c r="B20" i="3"/>
  <c r="D20" i="3" s="1"/>
  <c r="E20" i="3" s="1"/>
  <c r="A20" i="3"/>
  <c r="B19" i="3"/>
  <c r="D19" i="3" s="1"/>
  <c r="E19" i="3" s="1"/>
  <c r="A19" i="3"/>
  <c r="B18" i="3"/>
  <c r="D18" i="3" s="1"/>
  <c r="A18" i="3"/>
  <c r="B17" i="3"/>
  <c r="D17" i="3" s="1"/>
  <c r="A17" i="3"/>
  <c r="B16" i="3"/>
  <c r="D16" i="3" s="1"/>
  <c r="A16" i="3"/>
  <c r="B15" i="3"/>
  <c r="D15" i="3" s="1"/>
  <c r="E15" i="3" s="1"/>
  <c r="A15" i="3"/>
  <c r="B14" i="3"/>
  <c r="D14" i="3" s="1"/>
  <c r="A14" i="3"/>
  <c r="B13" i="3"/>
  <c r="D13" i="3" s="1"/>
  <c r="A13" i="3"/>
  <c r="B12" i="3"/>
  <c r="D12" i="3" s="1"/>
  <c r="E12" i="3" s="1"/>
  <c r="A12" i="3"/>
  <c r="B11" i="3"/>
  <c r="D11" i="3" s="1"/>
  <c r="E11" i="3" s="1"/>
  <c r="A11" i="3"/>
  <c r="D10" i="3"/>
  <c r="B10" i="3"/>
  <c r="A10" i="3"/>
  <c r="B9" i="3"/>
  <c r="D9" i="3" s="1"/>
  <c r="A9" i="3"/>
  <c r="B8" i="3"/>
  <c r="D8" i="3" s="1"/>
  <c r="A8" i="3"/>
  <c r="B7" i="3"/>
  <c r="D7" i="3" s="1"/>
  <c r="E7" i="3" s="1"/>
  <c r="A7" i="3"/>
  <c r="B6" i="3"/>
  <c r="D6" i="3" s="1"/>
  <c r="A6" i="3"/>
  <c r="B5" i="3"/>
  <c r="D5" i="3" s="1"/>
  <c r="A5" i="3"/>
  <c r="C4" i="3"/>
  <c r="B4" i="3"/>
  <c r="D4" i="3" s="1"/>
  <c r="A4" i="3"/>
  <c r="B41" i="2"/>
  <c r="B37" i="2"/>
  <c r="B31" i="2"/>
  <c r="B26" i="2"/>
  <c r="B24" i="2"/>
  <c r="B25" i="2" s="1"/>
  <c r="J74" i="5"/>
  <c r="K74" i="5" s="1"/>
  <c r="J73" i="5"/>
  <c r="K73" i="5" s="1"/>
  <c r="J72" i="5"/>
  <c r="K72" i="5" s="1"/>
  <c r="J71" i="5"/>
  <c r="K71" i="5" s="1"/>
  <c r="J70" i="5"/>
  <c r="K70" i="5" s="1"/>
  <c r="J69" i="5"/>
  <c r="K69" i="5" s="1"/>
  <c r="J68" i="5"/>
  <c r="K68" i="5" s="1"/>
  <c r="J67" i="5"/>
  <c r="K67" i="5" s="1"/>
  <c r="J66" i="5"/>
  <c r="K66" i="5" s="1"/>
  <c r="J65" i="5"/>
  <c r="J64" i="5"/>
  <c r="J63" i="5"/>
  <c r="J62" i="5"/>
  <c r="J61" i="5"/>
  <c r="Q60" i="5"/>
  <c r="Q59" i="5"/>
  <c r="Q58" i="5"/>
  <c r="Q57" i="5"/>
  <c r="Q56" i="5"/>
  <c r="Q55" i="5"/>
  <c r="Q54" i="5"/>
  <c r="Q53" i="5"/>
  <c r="Q52" i="5"/>
  <c r="Q51" i="5"/>
  <c r="Q50" i="5"/>
  <c r="Q49" i="5"/>
  <c r="Q48" i="5"/>
  <c r="Q47" i="5"/>
  <c r="Q46" i="5"/>
  <c r="Q45" i="5"/>
  <c r="Q44" i="5"/>
  <c r="Q43" i="5"/>
  <c r="Q42" i="5"/>
  <c r="Q41" i="5"/>
  <c r="Q40" i="5"/>
  <c r="Q39" i="5"/>
  <c r="Q38" i="5"/>
  <c r="Q37" i="5"/>
  <c r="Q36" i="5"/>
  <c r="Q35" i="5"/>
  <c r="Q34" i="5"/>
  <c r="Q33" i="5"/>
  <c r="Q32" i="5"/>
  <c r="Q31" i="5"/>
  <c r="Q30" i="5"/>
  <c r="Q29" i="5"/>
  <c r="Q28" i="5"/>
  <c r="Q27" i="5"/>
  <c r="Q26" i="5"/>
  <c r="Q25" i="5"/>
  <c r="Q24" i="5"/>
  <c r="Q23" i="5"/>
  <c r="Q22" i="5"/>
  <c r="Q21" i="5"/>
  <c r="Q20" i="5"/>
  <c r="Q19" i="5"/>
  <c r="Q18" i="5"/>
  <c r="Q17" i="5"/>
  <c r="Q16" i="5"/>
  <c r="Q15" i="5"/>
  <c r="Q14" i="5"/>
  <c r="Q13" i="5"/>
  <c r="Q12" i="5"/>
  <c r="Q11" i="5"/>
  <c r="Q10" i="5"/>
  <c r="Q9" i="5"/>
  <c r="Q8" i="5"/>
  <c r="Q7" i="5"/>
  <c r="Q6" i="5"/>
  <c r="Q5" i="5"/>
  <c r="F50" i="3" l="1"/>
  <c r="I50" i="3" s="1"/>
  <c r="H50" i="3"/>
  <c r="E50" i="3"/>
  <c r="D48" i="3"/>
  <c r="C50" i="3"/>
  <c r="J50" i="3" s="1"/>
  <c r="L50" i="3" s="1"/>
  <c r="F47" i="3"/>
  <c r="I47" i="3" s="1"/>
  <c r="H47" i="3"/>
  <c r="G47" i="3"/>
  <c r="E47" i="3"/>
  <c r="F51" i="3"/>
  <c r="I51" i="3" s="1"/>
  <c r="E51" i="3"/>
  <c r="H51" i="3"/>
  <c r="G51" i="3"/>
  <c r="F52" i="3"/>
  <c r="I52" i="3" s="1"/>
  <c r="H52" i="3"/>
  <c r="G52" i="3"/>
  <c r="E52" i="3"/>
  <c r="H4" i="3"/>
  <c r="H5" i="3" s="1"/>
  <c r="H6" i="3" s="1"/>
  <c r="H7" i="3" s="1"/>
  <c r="H8" i="3" s="1"/>
  <c r="H9" i="3" s="1"/>
  <c r="H10" i="3" s="1"/>
  <c r="H11" i="3" s="1"/>
  <c r="H12" i="3" s="1"/>
  <c r="H13" i="3" s="1"/>
  <c r="H14" i="3" s="1"/>
  <c r="H15" i="3" s="1"/>
  <c r="H16" i="3" s="1"/>
  <c r="H17" i="3" s="1"/>
  <c r="H18" i="3" s="1"/>
  <c r="H19" i="3" s="1"/>
  <c r="H20" i="3" s="1"/>
  <c r="H21" i="3" s="1"/>
  <c r="H22" i="3" s="1"/>
  <c r="H23" i="3" s="1"/>
  <c r="H24" i="3" s="1"/>
  <c r="H25" i="3" s="1"/>
  <c r="H26" i="3" s="1"/>
  <c r="H27" i="3" s="1"/>
  <c r="H28" i="3" s="1"/>
  <c r="H29" i="3" s="1"/>
  <c r="H30" i="3" s="1"/>
  <c r="H31" i="3" s="1"/>
  <c r="H32" i="3" s="1"/>
  <c r="H33" i="3" s="1"/>
  <c r="H34" i="3" s="1"/>
  <c r="H35" i="3" s="1"/>
  <c r="H36" i="3" s="1"/>
  <c r="H37" i="3" s="1"/>
  <c r="H38" i="3" s="1"/>
  <c r="H39" i="3" s="1"/>
  <c r="H40" i="3" s="1"/>
  <c r="H41" i="3" s="1"/>
  <c r="E4" i="3"/>
  <c r="E8" i="3"/>
  <c r="E16" i="3"/>
  <c r="F16" i="3" s="1"/>
  <c r="G16" i="3" s="1"/>
  <c r="E43" i="3"/>
  <c r="F43" i="3" s="1"/>
  <c r="E6" i="3"/>
  <c r="E30" i="3"/>
  <c r="F30" i="3" s="1"/>
  <c r="E10" i="3"/>
  <c r="E26" i="3"/>
  <c r="E46" i="3"/>
  <c r="F46" i="3" s="1"/>
  <c r="C47" i="3"/>
  <c r="J47" i="3" s="1"/>
  <c r="K50" i="3"/>
  <c r="E22" i="3"/>
  <c r="E38" i="3"/>
  <c r="K51" i="3"/>
  <c r="F45" i="3"/>
  <c r="E18" i="3"/>
  <c r="F18" i="3" s="1"/>
  <c r="E34" i="3"/>
  <c r="E42" i="3"/>
  <c r="F42" i="3" s="1"/>
  <c r="G50" i="3"/>
  <c r="C52" i="3"/>
  <c r="J52" i="3" s="1"/>
  <c r="L52" i="3" s="1"/>
  <c r="E14" i="3"/>
  <c r="F14" i="3" s="1"/>
  <c r="F44" i="3"/>
  <c r="G29" i="4"/>
  <c r="D29" i="4"/>
  <c r="G48" i="3"/>
  <c r="E53" i="3"/>
  <c r="F26" i="4"/>
  <c r="E5" i="3"/>
  <c r="F5" i="3" s="1"/>
  <c r="E9" i="3"/>
  <c r="F9" i="3" s="1"/>
  <c r="E13" i="3"/>
  <c r="F13" i="3" s="1"/>
  <c r="E17" i="3"/>
  <c r="F17" i="3" s="1"/>
  <c r="E21" i="3"/>
  <c r="F21" i="3" s="1"/>
  <c r="E25" i="3"/>
  <c r="F25" i="3" s="1"/>
  <c r="E29" i="3"/>
  <c r="F29" i="3" s="1"/>
  <c r="E33" i="3"/>
  <c r="F33" i="3" s="1"/>
  <c r="E37" i="3"/>
  <c r="F37" i="3" s="1"/>
  <c r="E41" i="3"/>
  <c r="F41" i="3" s="1"/>
  <c r="E45" i="3"/>
  <c r="H48" i="3"/>
  <c r="E49" i="3"/>
  <c r="D28" i="4"/>
  <c r="H53" i="3"/>
  <c r="F53" i="3"/>
  <c r="I53" i="3" s="1"/>
  <c r="F6" i="3"/>
  <c r="F10" i="3"/>
  <c r="F22" i="3"/>
  <c r="F26" i="3"/>
  <c r="F34" i="3"/>
  <c r="F38" i="3"/>
  <c r="G49" i="3"/>
  <c r="E25" i="4"/>
  <c r="K48" i="3"/>
  <c r="H49" i="3"/>
  <c r="K52" i="3"/>
  <c r="K53" i="3"/>
  <c r="F7" i="3"/>
  <c r="F11" i="3"/>
  <c r="F15" i="3"/>
  <c r="F19" i="3"/>
  <c r="F23" i="3"/>
  <c r="F27" i="3"/>
  <c r="F31" i="3"/>
  <c r="F35" i="3"/>
  <c r="F39" i="3"/>
  <c r="G25" i="4"/>
  <c r="K49" i="3"/>
  <c r="E27" i="4"/>
  <c r="F4" i="3"/>
  <c r="I4" i="3" s="1"/>
  <c r="F8" i="3"/>
  <c r="F12" i="3"/>
  <c r="F20" i="3"/>
  <c r="G20" i="3" s="1"/>
  <c r="F24" i="3"/>
  <c r="G24" i="3" s="1"/>
  <c r="F28" i="3"/>
  <c r="F32" i="3"/>
  <c r="G32" i="3" s="1"/>
  <c r="F36" i="3"/>
  <c r="G36" i="3" s="1"/>
  <c r="F40" i="3"/>
  <c r="G27" i="4"/>
  <c r="G4" i="3" l="1"/>
  <c r="F48" i="3"/>
  <c r="I48" i="3" s="1"/>
  <c r="E48" i="3"/>
  <c r="J56" i="3"/>
  <c r="H42" i="3"/>
  <c r="H43" i="3" s="1"/>
  <c r="H44" i="3" s="1"/>
  <c r="H45" i="3" s="1"/>
  <c r="H46" i="3" s="1"/>
  <c r="G42" i="3"/>
  <c r="G46" i="3"/>
  <c r="G43" i="3"/>
  <c r="G44" i="3"/>
  <c r="G45" i="3"/>
  <c r="L47" i="3"/>
  <c r="K47" i="3"/>
  <c r="G9" i="3"/>
  <c r="I5" i="3"/>
  <c r="I6" i="3" s="1"/>
  <c r="I7" i="3" s="1"/>
  <c r="I8" i="3" s="1"/>
  <c r="I9" i="3" s="1"/>
  <c r="I10" i="3" s="1"/>
  <c r="I11" i="3" s="1"/>
  <c r="I12" i="3" s="1"/>
  <c r="I13" i="3" s="1"/>
  <c r="I14" i="3" s="1"/>
  <c r="I15" i="3" s="1"/>
  <c r="I16" i="3" s="1"/>
  <c r="I17" i="3" s="1"/>
  <c r="I18" i="3" s="1"/>
  <c r="I19" i="3" s="1"/>
  <c r="I20" i="3" s="1"/>
  <c r="I21" i="3" s="1"/>
  <c r="I22" i="3" s="1"/>
  <c r="I23" i="3" s="1"/>
  <c r="I24" i="3" s="1"/>
  <c r="I25" i="3" s="1"/>
  <c r="I26" i="3" s="1"/>
  <c r="I27" i="3" s="1"/>
  <c r="I28" i="3" s="1"/>
  <c r="I29" i="3" s="1"/>
  <c r="I30" i="3" s="1"/>
  <c r="I31" i="3" s="1"/>
  <c r="I32" i="3" s="1"/>
  <c r="I33" i="3" s="1"/>
  <c r="I34" i="3" s="1"/>
  <c r="I35" i="3" s="1"/>
  <c r="I36" i="3" s="1"/>
  <c r="I37" i="3" s="1"/>
  <c r="I38" i="3" s="1"/>
  <c r="I39" i="3" s="1"/>
  <c r="I40" i="3" s="1"/>
  <c r="I41" i="3" s="1"/>
  <c r="G5" i="3"/>
  <c r="G29" i="3"/>
  <c r="G21" i="3"/>
  <c r="G41" i="3"/>
  <c r="G37" i="3"/>
  <c r="G25" i="3"/>
  <c r="G13" i="3"/>
  <c r="G26" i="3"/>
  <c r="G23" i="3"/>
  <c r="G38" i="3"/>
  <c r="G22" i="3"/>
  <c r="G6" i="3"/>
  <c r="G31" i="3"/>
  <c r="G10" i="3"/>
  <c r="J4" i="3"/>
  <c r="G19" i="3"/>
  <c r="E28" i="4"/>
  <c r="F28" i="4"/>
  <c r="G15" i="3"/>
  <c r="G34" i="3"/>
  <c r="G18" i="3"/>
  <c r="G28" i="3"/>
  <c r="G12" i="3"/>
  <c r="G11" i="3"/>
  <c r="G33" i="3"/>
  <c r="G17" i="3"/>
  <c r="F29" i="4"/>
  <c r="E29" i="4"/>
  <c r="G39" i="3"/>
  <c r="G7" i="3"/>
  <c r="G30" i="3"/>
  <c r="G14" i="3"/>
  <c r="G40" i="3"/>
  <c r="G8" i="3"/>
  <c r="G27" i="3"/>
  <c r="G35" i="3"/>
  <c r="I42" i="3" l="1"/>
  <c r="I43" i="3" s="1"/>
  <c r="I44" i="3" s="1"/>
  <c r="I45" i="3" s="1"/>
  <c r="I46" i="3" s="1"/>
  <c r="J57" i="3" s="1"/>
  <c r="R5" i="5"/>
  <c r="L4" i="3"/>
  <c r="K4" i="3"/>
  <c r="C5" i="3"/>
  <c r="J5" i="3" s="1"/>
  <c r="L5" i="3" l="1"/>
  <c r="K5" i="3"/>
  <c r="C6" i="3"/>
  <c r="J6" i="3" s="1"/>
  <c r="R6" i="5"/>
  <c r="C7" i="3" l="1"/>
  <c r="J7" i="3" s="1"/>
  <c r="K6" i="3"/>
  <c r="L6" i="3"/>
  <c r="R7" i="5"/>
  <c r="C8" i="3" l="1"/>
  <c r="J8" i="3" s="1"/>
  <c r="L7" i="3"/>
  <c r="K7" i="3"/>
  <c r="R8" i="5"/>
  <c r="L8" i="3" l="1"/>
  <c r="K8" i="3"/>
  <c r="R9" i="5"/>
  <c r="C9" i="3"/>
  <c r="J9" i="3" s="1"/>
  <c r="L9" i="3" l="1"/>
  <c r="K9" i="3"/>
  <c r="C10" i="3"/>
  <c r="J10" i="3" s="1"/>
  <c r="R10" i="5"/>
  <c r="C11" i="3" l="1"/>
  <c r="J11" i="3" s="1"/>
  <c r="K10" i="3"/>
  <c r="L10" i="3"/>
  <c r="R11" i="5"/>
  <c r="C12" i="3" l="1"/>
  <c r="J12" i="3" s="1"/>
  <c r="L11" i="3"/>
  <c r="K11" i="3"/>
  <c r="R12" i="5"/>
  <c r="L12" i="3" l="1"/>
  <c r="K12" i="3"/>
  <c r="C13" i="3"/>
  <c r="J13" i="3" s="1"/>
  <c r="R13" i="5"/>
  <c r="L13" i="3" l="1"/>
  <c r="K13" i="3"/>
  <c r="C14" i="3"/>
  <c r="J14" i="3" s="1"/>
  <c r="R14" i="5"/>
  <c r="C15" i="3" l="1"/>
  <c r="J15" i="3" s="1"/>
  <c r="K14" i="3"/>
  <c r="L14" i="3"/>
  <c r="R15" i="5"/>
  <c r="C16" i="3" l="1"/>
  <c r="J16" i="3" s="1"/>
  <c r="L15" i="3"/>
  <c r="K15" i="3"/>
  <c r="R16" i="5"/>
  <c r="L16" i="3" l="1"/>
  <c r="K16" i="3"/>
  <c r="C17" i="3"/>
  <c r="J17" i="3" s="1"/>
  <c r="R17" i="5"/>
  <c r="L17" i="3" l="1"/>
  <c r="K17" i="3"/>
  <c r="C18" i="3"/>
  <c r="J18" i="3" s="1"/>
  <c r="R18" i="5"/>
  <c r="C19" i="3" l="1"/>
  <c r="J19" i="3" s="1"/>
  <c r="L18" i="3"/>
  <c r="K18" i="3"/>
  <c r="R19" i="5"/>
  <c r="C20" i="3" l="1"/>
  <c r="J20" i="3" s="1"/>
  <c r="L19" i="3"/>
  <c r="K19" i="3"/>
  <c r="R20" i="5"/>
  <c r="R21" i="5" l="1"/>
  <c r="L20" i="3"/>
  <c r="K20" i="3"/>
  <c r="C21" i="3"/>
  <c r="J21" i="3" s="1"/>
  <c r="L21" i="3" l="1"/>
  <c r="K21" i="3"/>
  <c r="C22" i="3"/>
  <c r="J22" i="3" s="1"/>
  <c r="R22" i="5"/>
  <c r="C23" i="3" l="1"/>
  <c r="J23" i="3" s="1"/>
  <c r="L22" i="3"/>
  <c r="K22" i="3"/>
  <c r="R23" i="5"/>
  <c r="C24" i="3" l="1"/>
  <c r="J24" i="3" s="1"/>
  <c r="L23" i="3"/>
  <c r="K23" i="3"/>
  <c r="R24" i="5"/>
  <c r="L24" i="3" l="1"/>
  <c r="K24" i="3"/>
  <c r="R25" i="5"/>
  <c r="C25" i="3"/>
  <c r="J25" i="3" s="1"/>
  <c r="L25" i="3" l="1"/>
  <c r="K25" i="3"/>
  <c r="C26" i="3"/>
  <c r="J26" i="3" s="1"/>
  <c r="R26" i="5"/>
  <c r="C27" i="3" l="1"/>
  <c r="J27" i="3" s="1"/>
  <c r="L26" i="3"/>
  <c r="K26" i="3"/>
  <c r="R27" i="5"/>
  <c r="C28" i="3" l="1"/>
  <c r="J28" i="3" s="1"/>
  <c r="L27" i="3"/>
  <c r="K27" i="3"/>
  <c r="R28" i="5"/>
  <c r="L28" i="3" l="1"/>
  <c r="K28" i="3"/>
  <c r="C29" i="3"/>
  <c r="J29" i="3" s="1"/>
  <c r="R29" i="5"/>
  <c r="L29" i="3" l="1"/>
  <c r="K29" i="3"/>
  <c r="C30" i="3"/>
  <c r="J30" i="3" s="1"/>
  <c r="R30" i="5"/>
  <c r="C31" i="3" l="1"/>
  <c r="J31" i="3" s="1"/>
  <c r="L30" i="3"/>
  <c r="K30" i="3"/>
  <c r="R31" i="5"/>
  <c r="C32" i="3" l="1"/>
  <c r="J32" i="3" s="1"/>
  <c r="L31" i="3"/>
  <c r="K31" i="3"/>
  <c r="R32" i="5"/>
  <c r="L32" i="3" l="1"/>
  <c r="K32" i="3"/>
  <c r="C33" i="3"/>
  <c r="J33" i="3" s="1"/>
  <c r="L33" i="3" l="1"/>
  <c r="K33" i="3"/>
  <c r="C34" i="3"/>
  <c r="J34" i="3" s="1"/>
  <c r="C35" i="3" l="1"/>
  <c r="J35" i="3" s="1"/>
  <c r="K34" i="3"/>
  <c r="L34" i="3"/>
  <c r="C36" i="3" l="1"/>
  <c r="J36" i="3" s="1"/>
  <c r="L35" i="3"/>
  <c r="K35" i="3"/>
  <c r="L36" i="3" l="1"/>
  <c r="C37" i="3"/>
  <c r="J37" i="3" s="1"/>
  <c r="K36" i="3"/>
  <c r="L37" i="3" l="1"/>
  <c r="K37" i="3"/>
  <c r="C38" i="3"/>
  <c r="J38" i="3" s="1"/>
  <c r="C39" i="3" l="1"/>
  <c r="J39" i="3" s="1"/>
  <c r="L38" i="3"/>
  <c r="K38" i="3"/>
  <c r="C40" i="3" l="1"/>
  <c r="J40" i="3" s="1"/>
  <c r="L39" i="3"/>
  <c r="K39" i="3"/>
  <c r="L40" i="3" l="1"/>
  <c r="K40" i="3"/>
  <c r="C41" i="3"/>
  <c r="J41" i="3" s="1"/>
  <c r="C42" i="3" s="1"/>
  <c r="J42" i="3" s="1"/>
  <c r="L42" i="3" l="1"/>
  <c r="K42" i="3"/>
  <c r="C43" i="3"/>
  <c r="J43" i="3" s="1"/>
  <c r="L41" i="3"/>
  <c r="K41" i="3"/>
  <c r="L43" i="3" l="1"/>
  <c r="K43" i="3"/>
  <c r="C44" i="3"/>
  <c r="J44" i="3" s="1"/>
  <c r="L44" i="3" l="1"/>
  <c r="C45" i="3"/>
  <c r="J45" i="3" s="1"/>
  <c r="K44" i="3"/>
  <c r="L45" i="3" l="1"/>
  <c r="C46" i="3"/>
  <c r="J46" i="3" s="1"/>
  <c r="K45" i="3"/>
  <c r="L46" i="3" l="1"/>
  <c r="J60" i="3" s="1"/>
  <c r="K46" i="3"/>
  <c r="J59" i="3" s="1"/>
  <c r="J58" i="3"/>
  <c r="C3" i="4" l="1"/>
  <c r="C5" i="4"/>
  <c r="D5" i="4" l="1"/>
  <c r="G5" i="4" l="1"/>
  <c r="E5" i="4"/>
  <c r="F5" i="4" s="1"/>
  <c r="C6" i="4" l="1"/>
  <c r="R33" i="5"/>
  <c r="D6" i="4"/>
  <c r="E6" i="4" s="1"/>
  <c r="F6" i="4" s="1"/>
  <c r="G6" i="4" l="1"/>
  <c r="C7" i="4" l="1"/>
  <c r="R34" i="5"/>
  <c r="D7" i="4"/>
  <c r="E7" i="4" s="1"/>
  <c r="F7" i="4" s="1"/>
  <c r="G7" i="4" l="1"/>
  <c r="C8" i="4" s="1"/>
  <c r="R35" i="5"/>
  <c r="D8" i="4" l="1"/>
  <c r="E8" i="4" s="1"/>
  <c r="F8" i="4" s="1"/>
  <c r="G8" i="4"/>
  <c r="R36" i="5" l="1"/>
  <c r="C9" i="4"/>
  <c r="D9" i="4" l="1"/>
  <c r="E9" i="4" s="1"/>
  <c r="F9" i="4" s="1"/>
  <c r="G9" i="4"/>
  <c r="R37" i="5" l="1"/>
  <c r="C10" i="4"/>
  <c r="D10" i="4" s="1"/>
  <c r="G10" i="4" s="1"/>
  <c r="R38" i="5" s="1"/>
  <c r="E10" i="4" l="1"/>
  <c r="F10" i="4" s="1"/>
  <c r="C11" i="4"/>
  <c r="D11" i="4" s="1"/>
  <c r="G11" i="4" l="1"/>
  <c r="R39" i="5" s="1"/>
  <c r="E11" i="4"/>
  <c r="F11" i="4" s="1"/>
  <c r="C12" i="4" l="1"/>
  <c r="D12" i="4" s="1"/>
  <c r="E12" i="4" l="1"/>
  <c r="F12" i="4"/>
  <c r="G12" i="4"/>
  <c r="R40" i="5" s="1"/>
  <c r="C13" i="4" l="1"/>
  <c r="D13" i="4" l="1"/>
  <c r="G13" i="4" s="1"/>
  <c r="R41" i="5" s="1"/>
  <c r="C14" i="4" l="1"/>
  <c r="E13" i="4"/>
  <c r="F13" i="4" s="1"/>
  <c r="D14" i="4" l="1"/>
  <c r="E14" i="4" l="1"/>
  <c r="F14" i="4"/>
  <c r="G14" i="4"/>
  <c r="R42" i="5" s="1"/>
  <c r="C15" i="4" l="1"/>
  <c r="D15" i="4" l="1"/>
  <c r="G15" i="4" s="1"/>
  <c r="R43" i="5" s="1"/>
  <c r="C16" i="4" l="1"/>
  <c r="E15" i="4"/>
  <c r="F15" i="4" s="1"/>
  <c r="D16" i="4" l="1"/>
  <c r="E16" i="4" l="1"/>
  <c r="F16" i="4" s="1"/>
  <c r="G16" i="4"/>
  <c r="R44" i="5" s="1"/>
  <c r="C17" i="4" l="1"/>
  <c r="D17" i="4" l="1"/>
  <c r="G17" i="4" s="1"/>
  <c r="R45" i="5" s="1"/>
  <c r="C18" i="4" l="1"/>
  <c r="E17" i="4"/>
  <c r="F17" i="4" s="1"/>
  <c r="D18" i="4" l="1"/>
  <c r="G18" i="4" s="1"/>
  <c r="K61" i="5" l="1"/>
  <c r="R46" i="5"/>
  <c r="C19" i="4"/>
  <c r="R56" i="5"/>
  <c r="E18" i="4"/>
  <c r="F18" i="4" s="1"/>
  <c r="D19" i="4" l="1"/>
  <c r="G19" i="4" s="1"/>
  <c r="K62" i="5" l="1"/>
  <c r="R47" i="5"/>
  <c r="C20" i="4"/>
  <c r="R57" i="5"/>
  <c r="E19" i="4"/>
  <c r="F19" i="4" s="1"/>
  <c r="D20" i="4" l="1"/>
  <c r="E20" i="4" l="1"/>
  <c r="F20" i="4" s="1"/>
  <c r="G20" i="4"/>
  <c r="R51" i="5" s="1"/>
  <c r="K63" i="5" l="1"/>
  <c r="R48" i="5"/>
  <c r="C21" i="4"/>
  <c r="R58" i="5"/>
  <c r="D21" i="4" l="1"/>
  <c r="G21" i="4"/>
  <c r="R52" i="5" s="1"/>
  <c r="K64" i="5" l="1"/>
  <c r="R49" i="5"/>
  <c r="R59" i="5"/>
  <c r="C22" i="4"/>
  <c r="E21" i="4"/>
  <c r="F21" i="4" s="1"/>
  <c r="D22" i="4" l="1"/>
  <c r="E22" i="4" l="1"/>
  <c r="F22" i="4"/>
  <c r="G22" i="4"/>
  <c r="R50" i="5" l="1"/>
  <c r="C23" i="4"/>
  <c r="R53" i="5"/>
  <c r="R60" i="5"/>
  <c r="K65" i="5"/>
  <c r="D23" i="4" l="1"/>
  <c r="E23" i="4" l="1"/>
  <c r="F23" i="4" s="1"/>
  <c r="G23" i="4"/>
  <c r="C24" i="4" l="1"/>
  <c r="R54" i="5"/>
  <c r="D24" i="4" l="1"/>
  <c r="E24" i="4" l="1"/>
  <c r="F24" i="4" s="1"/>
  <c r="G24" i="4"/>
  <c r="R55"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B7" authorId="0" shapeId="0" xr:uid="{00000000-0006-0000-0100-000001000000}">
      <text>
        <r>
          <rPr>
            <sz val="11"/>
            <color theme="1"/>
            <rFont val="Calibri"/>
            <family val="2"/>
            <charset val="1"/>
          </rPr>
          <t>Hinweis: Für die volle Grundzulage (bis zu 540 €/Jahr) ist ein Eigenbeitrag von 1.800 €/Jahr (150 €/Monat) erforderlich. Unterhalb von 120 €/Jahr (10 €/Monat) entfällt die Förderung vollständig. Für die volle Kinderzulage je anspruchsberechtigtem Kind sind zusätzlich mind. 300 €/Jahr (25 €/Monat) Eigenbeitrag je Kind vereinfachend anzusetzen.</t>
        </r>
      </text>
    </comment>
  </commentList>
</comments>
</file>

<file path=xl/sharedStrings.xml><?xml version="1.0" encoding="utf-8"?>
<sst xmlns="http://schemas.openxmlformats.org/spreadsheetml/2006/main" count="111" uniqueCount="102">
  <si>
    <t>Spar- und Auszahlplan – grafische Übersicht</t>
  </si>
  <si>
    <t>Depotverlauf über das Alter: Ansparphase bis Renteneintritt, danach Auszahlphase bis zum Endalter des Auszahlplans.</t>
  </si>
  <si>
    <t>Zelle Q3 eingefügt, jetzt wird das Depotkapital in der grafik nicht mehr angezigt</t>
  </si>
  <si>
    <t>Alter</t>
  </si>
  <si>
    <t>Depotkapital (EUR)</t>
  </si>
  <si>
    <t>Altersvorsorgedepot – Hochrechnung Sparplan</t>
  </si>
  <si>
    <t>Erstellt als Planungswerkzeug, nicht als Anlageberatung.</t>
  </si>
  <si>
    <t>Blaue Schrift, gelb hinterlegt:  Eingabefelder – hier bitte Ihre eigenen Werte eintragen.</t>
  </si>
  <si>
    <t>Schwarze Schrift:  Berechnete Werte (Formeln) – nicht überschreiben.</t>
  </si>
  <si>
    <t>Blatt 'Annahmen':  Startjahr, Alter, Kapital, Sparrate, Förderparameter, Kinder-Geburtsjahre, Rendite/TER und Inflationsannahme.</t>
  </si>
  <si>
    <t>Blatt 'Hochrechnung':  Jahr-für-Jahr-Entwicklung des Depots bis zum gewählten Renteneintrittsalter, nominal und real (heutige Kaufkraft), inkl. staatlicher Förderung.</t>
  </si>
  <si>
    <t>Grundlage: Altersvorsorgedepot ab 2027:  Basiert auf dem am 27.03.2026 vom Bundestag und am 08.05.2026 vom Bundesrat beschlossenen Altersvorsorgereformgesetz (Nachfolger der Riester-Rente, Produkte ab 01.01.2027 verfügbar). Werte laut mehreren unabhängigen Fachquellen (Stand August 2026): Grundzulage gestaffelt – 50 % auf die ersten 360 €/Jahr Eigenbeitrag (max. 180 €), zusätzlich 25 % auf den Eigenbeitrag von 360,01 € bis 1.800 €/Jahr (max. weitere 360 €); maximale Grundzulage damit 540 €/Jahr bei 1.800 € Eigenbeitrag. Mindesteigenbeitrag 120 €/Jahr, sonst entfällt die Förderung vollständig. Kinderzulage: 1:1-Matching des Eigenbeitrags bis 300 €/Jahr je kindergeldberechtigtem Kind. Berufseinsteigerbonus: einmalig 200 €, wenn der Vertrag vor dem 25. Geburtstag abgeschlossen wird. Zusätzlich möglich, aber in dieser Tabelle NICHT modelliert: Sonderausgabenabzug/Günstigerprüfung über die Steuererklärung.</t>
  </si>
  <si>
    <t>Kinderzulage &amp; Altersgrenze:  Je Kind wird ein Geburtsjahr eingetragen (Blatt Annahmen, Tabelle 'Kinder'). Die Kinderzulage wird für ein Kind nur in den Jahren berücksichtigt, in denen es jünger als 25 Jahre ist (Alter = Hochrechnungsjahr − Geburtsjahr &lt; 25). Vereinfachend wird angenommen, dass die Kindergeldberechtigung durchgehend bis zu diesem Alter besteht; die tatsächliche Kindergeld-/Zulagenberechtigung kann im Einzelfall früher enden (z.B. Ende von Schule/Ausbildung/Studium) – bitte im Zweifel prüfen. Nicht genutzte Kind-Zeilen leer lassen.</t>
  </si>
  <si>
    <t>Vereinfachung Kinderzulage:  Die Tabelle geht vereinfachend davon aus, dass der gesamte Eigenbeitrag ausreicht, um je anspruchsberechtigtem Kind bis zu 300 €/Jahr zu matchen (keine separate Zuordnung von Teilbeträgen auf einzelne Kinder).</t>
  </si>
  <si>
    <t>Renditeannahme:  Frei wählbar zwischen 5% und 10% p.a. (brutto, vor Kosten) – Vorbelegung ist ein Beispielwert, keine Prognose.</t>
  </si>
  <si>
    <t>TER (Fondskosten):  Frei wählbar, Vorbelegung 0,25% p.a. Wird von der Bruttorendite abgezogen; die resultierende Nettorendite ist die für die Hochrechnung tatsächlich verwendete Wachstumsrate.</t>
  </si>
  <si>
    <t>Inflationsannahme:  Frei wählbar zwischen 2% und 5% p.a. – dient nur dem Realwert-Vergleich.</t>
  </si>
  <si>
    <t>Auszahlplan &amp; Steuer:  Der Auszahlplan (Blatt 'Auszahlplan') verteilt das bei Renteneintritt vorhandene Kapital mittels der Excel-Funktion PMT() gleichmäßig auf die Jahre bis zum gewählten Endalter (mind. 85, gesetzliche Mindestlaufzeit), wobei das Restkapital während der Auszahlphase weiter am Kapitalmarkt angelegt bleibt und über FV() mitwächst. Die Besteuerung wird vereinfacht mit einem pauschalen Satz (heutiger Grenzsteuersatz minus Abschlag) auf jede Auszahlung angesetzt – dies ersetzt keine Steuerberatung, da die tatsächliche Besteuerung von der individuellen Auszahlungsform und Gesetzeslage abhängt.</t>
  </si>
  <si>
    <t>Was passiert bis/nach Alter 85?:  Ein Auszahlplan muss laut Reformgesetz mindestens bis zum vollendeten 85. Lebensjahr laufen. Nicht verbrauchtes Restkapital bleibt während der gesamten Auszahlphase vererbbar. Läuft der Plan planmäßig bis 85, wird ein eventuelles Restguthaben zusammen mit der letzten Rate ausgezahlt. Alternative: eine lebenslange Leibrente – dort verfällt das Kapital beim Tod grundsätzlich (außer bei vereinbarter Rentengarantiezeit), ist aber nicht auf Alter 85 begrenzt, sondern läuft lebenslang.</t>
  </si>
  <si>
    <t>Annahmen</t>
  </si>
  <si>
    <t>Startjahr</t>
  </si>
  <si>
    <t>Jahr, ab dem eingezahlt wird.</t>
  </si>
  <si>
    <t>Startalter (im Startjahr)</t>
  </si>
  <si>
    <t>Beispielwert – bitte durch tatsächliches Alter ersetzen.</t>
  </si>
  <si>
    <t>Zielalter (Renteneintritt)</t>
  </si>
  <si>
    <t>Wählbar 67–70 (Dropdown).</t>
  </si>
  <si>
    <t>Startkapital (EUR)</t>
  </si>
  <si>
    <t>Bereits vorhandenes Guthaben im Depot.</t>
  </si>
  <si>
    <t>Monatliche Sparrate, eigener Beitrag (EUR)</t>
  </si>
  <si>
    <t>Frei wählbar. Bestimmt zusammen mit den Förderparametern unten die Zulagenhöhe.</t>
  </si>
  <si>
    <t>Förderung Altersvorsorgedepot (Rechtsstand: Reformgesetz 2026, gültig ab 2027)</t>
  </si>
  <si>
    <t>Mindesteigenbeitrag für Förderung (EUR/Jahr)</t>
  </si>
  <si>
    <t>Unterhalb dieses Betrags entfällt die gesamte Grundzulage.</t>
  </si>
  <si>
    <t>Schwelle 50%-Förderstufe (EUR Eigenbeitrag/Jahr)</t>
  </si>
  <si>
    <t>Bis zu diesem Eigenbeitrag zahlt der Staat 50 Cent je Euro.</t>
  </si>
  <si>
    <t>Geförderter Höchstbeitrag (EUR Eigenbeitrag/Jahr)</t>
  </si>
  <si>
    <t>Ab hier keine weitere Grundzulage (danach 25 Cent je Euro bis zu diesem Betrag).</t>
  </si>
  <si>
    <t>Kinderzulage: Matching-Grenze je Kind (EUR/Jahr)</t>
  </si>
  <si>
    <t>1:1-Matching des Eigenbeitrags bis zu diesem Betrag je anspruchsberechtigtem Kind.</t>
  </si>
  <si>
    <t>Berufseinsteigerbonus, einmalig (EUR)</t>
  </si>
  <si>
    <t>Nur im Startjahr, wenn Startalter &lt; 25.</t>
  </si>
  <si>
    <t>Kinder – Geburtsjahre (Kinderzulage nur solange Alter &lt; 25)</t>
  </si>
  <si>
    <t>Kind 1: Geburtsjahr</t>
  </si>
  <si>
    <t>Leer lassen, falls kein weiteres Kind vorhanden.</t>
  </si>
  <si>
    <t>Kind 2: Geburtsjahr</t>
  </si>
  <si>
    <t>Kind 3: Geburtsjahr</t>
  </si>
  <si>
    <t>Kind 4: Geburtsjahr</t>
  </si>
  <si>
    <t>Kind 5: Geburtsjahr</t>
  </si>
  <si>
    <t>Kind 6: Geburtsjahr</t>
  </si>
  <si>
    <t>Eigenbeitrag p.a. (EUR)</t>
  </si>
  <si>
    <t>Berechnet aus der monatlichen Sparrate.</t>
  </si>
  <si>
    <t>Grundzulage p.a. (EUR)</t>
  </si>
  <si>
    <t>Gestaffelte Förderung: 50% bis Schwelle, danach 25% bis Höchstbetrag. Konstant über die Laufzeit.</t>
  </si>
  <si>
    <t>Berufseinsteigerbonus im Startjahr (EUR)</t>
  </si>
  <si>
    <t>Nur einmalig im ersten Sparjahr, wenn Startalter &lt; 25.</t>
  </si>
  <si>
    <t>Hinweis: Die Kinderzulage wird nicht hier, sondern jahresabhängig im Blatt 'Hochrechnung' berechnet, da die Anzahl anspruchsberechtigter Kinder (&lt; 25 Jahre) sich über die Laufzeit ändert.</t>
  </si>
  <si>
    <t>Erwartete Rendite p.a. (brutto, vor Kosten)</t>
  </si>
  <si>
    <t>Frei wählbar 5%–10%.</t>
  </si>
  <si>
    <t>TER des ETF p.a. (Fondskosten)</t>
  </si>
  <si>
    <t>Frei wählbar, z.B. 0,25% (Beispielwert).</t>
  </si>
  <si>
    <t>Nettorendite p.a. (nach TER)</t>
  </si>
  <si>
    <t>Berechnet – nicht überschreiben. Wird für die Hochrechnung verwendet.</t>
  </si>
  <si>
    <t>Inflationsrate p.a.</t>
  </si>
  <si>
    <t>Frei wählbar 2%–5%.</t>
  </si>
  <si>
    <t>Steuer in der Auszahlungsphase</t>
  </si>
  <si>
    <t>Heutiger Grenzsteuersatz</t>
  </si>
  <si>
    <t>Ihr persönlicher Grenzsteuersatz heute (Einkommensteuer, ohne Soli/KiSt).</t>
  </si>
  <si>
    <t>Pauschaler Abschlag für die Auszahlphase (Prozentpunkte)</t>
  </si>
  <si>
    <t>Vereinfachend angenommener Abschlag ggü. dem heutigen Grenzsteuersatz (i.d.R. niedrigeres Einkommen im Ruhestand).</t>
  </si>
  <si>
    <t>Angenommener Steuersatz in der Auszahlphase</t>
  </si>
  <si>
    <t>Berechnet: Grenzsteuersatz minus pauschalem Abschlag. Vereinfachung – keine Steuerberatung.</t>
  </si>
  <si>
    <t>Endalter Auszahlplan</t>
  </si>
  <si>
    <t>Gesetzliche Mindestlaufzeit bis mindestens 85 Jahre; hier nicht unter 85 wählen.</t>
  </si>
  <si>
    <t>Hilfsgröße (nicht editieren)</t>
  </si>
  <si>
    <t>Effektiver Monatszins (aus Nettorendite nach TER)</t>
  </si>
  <si>
    <t>Hochrechnung Altersvorsorgedepot</t>
  </si>
  <si>
    <t>Jahr</t>
  </si>
  <si>
    <t>Anfangskapital
(EUR)</t>
  </si>
  <si>
    <t>Eigene
Einzahlung (EUR)</t>
  </si>
  <si>
    <t>Anspruchsber.
Kinder (Anz.)</t>
  </si>
  <si>
    <t>Staatliche
Zulage (EUR)</t>
  </si>
  <si>
    <t>Einzahlung
gesamt (EUR)</t>
  </si>
  <si>
    <t>Kumulierte eigene
Einzahlungen (EUR)</t>
  </si>
  <si>
    <t>Kumulierte
Zulagen (EUR)</t>
  </si>
  <si>
    <t>Endkapital
nominal (EUR)</t>
  </si>
  <si>
    <t>Endkapital real,
heutige Kaufkraft (EUR)</t>
  </si>
  <si>
    <t>Kumulierter
Ertrag (EUR)</t>
  </si>
  <si>
    <t>Ergebnis bei Renteneintritt (Zielalter)</t>
  </si>
  <si>
    <t>Kumulierte eigene Einzahlungen (EUR)</t>
  </si>
  <si>
    <t>Kumulierte staatliche Zulagen (EUR)</t>
  </si>
  <si>
    <t>Endkapital nominal (EUR)</t>
  </si>
  <si>
    <t>Endkapital real, heutige Kaufkraft (EUR)</t>
  </si>
  <si>
    <t>Kumulierter Ertrag (EUR)</t>
  </si>
  <si>
    <t>Hinweis: Modell mit fester monatlicher Sparrate, konstanter Grundzulage p.a. (zzgl. Berufseinsteigerbonus im ersten Jahr, falls zutreffend), jahresabhängiger Kinderzulage (nur solange ein Kind jünger als 25 Jahre ist), konstanter Nettorenditeannahme (nach TER) und konstanter Inflationsrate. Werte sind eine Hochrechnung, keine Garantie. Reale Werte in heutiger Kaufkraft (Basisjahr = Startjahr).</t>
  </si>
  <si>
    <t>Auszahlplan (Entsparphase)</t>
  </si>
  <si>
    <t>Gleichbleibende jährliche Bruttoentnahme, die das Kapital bei fortlaufendem Wachstum bis zum Endalter des Auszahlplans (Annahmen!B38) planmäßig aufbraucht.</t>
  </si>
  <si>
    <t>Konstante Bruttoentnahme p.a. (EUR):</t>
  </si>
  <si>
    <t>Entnahme
brutto (EUR)</t>
  </si>
  <si>
    <t>Steuer
(EUR)</t>
  </si>
  <si>
    <t>Entnahme
netto (EUR)</t>
  </si>
  <si>
    <t>Restkapital
Jahresende (EUR)</t>
  </si>
  <si>
    <t>Hinweis: Vereinfachtes Modell mit konstanter Bruttoentnahme (Annuität) und pauschaler Besteuerung. Endet der Auszahlplan planmäßig, ist das Restkapital rechnerisch 0. Verstirbt der Sparer vorher, ist das dann vorhandene Restkapital vererbbar (siehe Blatt 'Legende').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</si>
</sst>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
  </numFmts>
  <fonts count="11" x14ac:knownFonts="1">
    <font>
      <sz val="11"/>
      <color theme="1"/>
      <name val="Calibri"/>
      <family val="2"/>
      <charset val="1"/>
    </font>
    <font>
      <b/>
      <sz val="14"/>
      <color rgb="FF1F3864"/>
      <name val="Arial"/>
      <family val="2"/>
      <charset val="1"/>
    </font>
    <font>
      <i/>
      <sz val="10"/>
      <color rgb="FF595959"/>
      <name val="Arial"/>
      <family val="2"/>
      <charset val="1"/>
    </font>
    <font>
      <sz val="10"/>
      <name val="Arial"/>
      <family val="2"/>
      <charset val="1"/>
    </font>
    <font>
      <b/>
      <sz val="10"/>
      <name val="Arial"/>
      <family val="2"/>
      <charset val="1"/>
    </font>
    <font>
      <b/>
      <sz val="10"/>
      <color rgb="FF0000FF"/>
      <name val="Arial"/>
      <family val="2"/>
      <charset val="1"/>
    </font>
    <font>
      <i/>
      <sz val="9"/>
      <color rgb="FF808080"/>
      <name val="Arial"/>
      <family val="2"/>
      <charset val="1"/>
    </font>
    <font>
      <sz val="10"/>
      <color rgb="FF000000"/>
      <name val="Arial"/>
      <family val="2"/>
      <charset val="1"/>
    </font>
    <font>
      <sz val="9"/>
      <color rgb="FF808080"/>
      <name val="Arial"/>
      <family val="2"/>
      <charset val="1"/>
    </font>
    <font>
      <b/>
      <sz val="10"/>
      <color rgb="FFFFFFFF"/>
      <name val="Arial"/>
      <family val="2"/>
      <charset val="1"/>
    </font>
    <font>
      <b/>
      <sz val="9"/>
      <name val="Arial"/>
      <family val="2"/>
      <charset val="1"/>
    </font>
  </fonts>
  <fills count="7">
    <fill>
      <patternFill patternType="none"/>
    </fill>
    <fill>
      <patternFill patternType="gray125"/>
    </fill>
    <fill>
      <patternFill patternType="solid">
        <fgColor theme="6" tint="0.79979857783745845"/>
        <bgColor rgb="FFFDEADA"/>
      </patternFill>
    </fill>
    <fill>
      <patternFill patternType="solid">
        <fgColor theme="9" tint="0.79979857783745845"/>
        <bgColor rgb="FFEBF1DE"/>
      </patternFill>
    </fill>
    <fill>
      <patternFill patternType="solid">
        <fgColor rgb="FFFFFF00"/>
        <bgColor rgb="FFFFFF00"/>
      </patternFill>
    </fill>
    <fill>
      <patternFill patternType="solid">
        <fgColor rgb="FF1F3864"/>
        <bgColor rgb="FF333399"/>
      </patternFill>
    </fill>
    <fill>
      <patternFill patternType="solid">
        <fgColor rgb="FFDCE6F1"/>
        <bgColor rgb="FFD9D9D9"/>
      </patternFill>
    </fill>
  </fills>
  <borders count="4">
    <border>
      <left/>
      <right/>
      <top/>
      <bottom/>
      <diagonal/>
    </border>
    <border>
      <left style="thin">
        <color rgb="FFBFBFBF"/>
      </left>
      <right style="thin">
        <color rgb="FFBFBFBF"/>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s>
  <cellStyleXfs count="1">
    <xf numFmtId="0" fontId="0" fillId="0" borderId="0"/>
  </cellStyleXfs>
  <cellXfs count="30">
    <xf numFmtId="0" fontId="0" fillId="0" borderId="0" xfId="0"/>
    <xf numFmtId="0" fontId="1" fillId="0" borderId="0" xfId="0" applyFont="1"/>
    <xf numFmtId="0" fontId="2" fillId="0" borderId="0" xfId="0" applyFont="1"/>
    <xf numFmtId="0" fontId="3" fillId="2" borderId="0" xfId="0" applyFont="1" applyFill="1" applyAlignment="1">
      <alignment vertical="top" wrapText="1"/>
    </xf>
    <xf numFmtId="0" fontId="3" fillId="3" borderId="0" xfId="0" applyFont="1" applyFill="1" applyAlignment="1">
      <alignment vertical="top" wrapText="1"/>
    </xf>
    <xf numFmtId="0" fontId="4" fillId="0" borderId="0" xfId="0" applyFont="1"/>
    <xf numFmtId="1" fontId="5" fillId="4" borderId="1" xfId="0" applyNumberFormat="1" applyFont="1" applyFill="1" applyBorder="1" applyAlignment="1">
      <alignment horizontal="right"/>
    </xf>
    <xf numFmtId="0" fontId="6" fillId="0" borderId="0" xfId="0" applyFont="1" applyAlignment="1">
      <alignment wrapText="1"/>
    </xf>
    <xf numFmtId="3" fontId="5" fillId="4" borderId="1" xfId="0" applyNumberFormat="1" applyFont="1" applyFill="1" applyBorder="1" applyAlignment="1">
      <alignment horizontal="right"/>
    </xf>
    <xf numFmtId="0" fontId="6" fillId="0" borderId="0" xfId="0" applyFont="1"/>
    <xf numFmtId="3" fontId="7" fillId="0" borderId="1" xfId="0" applyNumberFormat="1" applyFont="1" applyBorder="1" applyAlignment="1">
      <alignment horizontal="right"/>
    </xf>
    <xf numFmtId="164" fontId="5" fillId="4" borderId="1" xfId="0" applyNumberFormat="1" applyFont="1" applyFill="1" applyBorder="1" applyAlignment="1">
      <alignment horizontal="right"/>
    </xf>
    <xf numFmtId="10" fontId="5" fillId="4" borderId="1" xfId="0" applyNumberFormat="1" applyFont="1" applyFill="1" applyBorder="1" applyAlignment="1">
      <alignment horizontal="right"/>
    </xf>
    <xf numFmtId="10" fontId="7" fillId="0" borderId="1" xfId="0" applyNumberFormat="1" applyFont="1" applyBorder="1" applyAlignment="1">
      <alignment horizontal="right"/>
    </xf>
    <xf numFmtId="164" fontId="7" fillId="0" borderId="1" xfId="0" applyNumberFormat="1" applyFont="1" applyBorder="1" applyAlignment="1">
      <alignment horizontal="right"/>
    </xf>
    <xf numFmtId="165" fontId="8" fillId="0" borderId="0" xfId="0" applyNumberFormat="1" applyFont="1"/>
    <xf numFmtId="0" fontId="9" fillId="5" borderId="1" xfId="0" applyFont="1" applyFill="1" applyBorder="1" applyAlignment="1">
      <alignment horizontal="center" vertical="center" wrapText="1"/>
    </xf>
    <xf numFmtId="1" fontId="7" fillId="0" borderId="1" xfId="0" applyNumberFormat="1" applyFont="1" applyBorder="1" applyAlignment="1">
      <alignment horizontal="center"/>
    </xf>
    <xf numFmtId="3" fontId="4" fillId="6" borderId="1" xfId="0" applyNumberFormat="1" applyFont="1" applyFill="1" applyBorder="1" applyAlignment="1">
      <alignment horizontal="right"/>
    </xf>
    <xf numFmtId="3" fontId="8" fillId="0" borderId="0" xfId="0" applyNumberFormat="1" applyFont="1"/>
    <xf numFmtId="0" fontId="10" fillId="0" borderId="0" xfId="0" applyFont="1"/>
    <xf numFmtId="1" fontId="0" fillId="0" borderId="0" xfId="0" applyNumberFormat="1"/>
    <xf numFmtId="3" fontId="0" fillId="0" borderId="0" xfId="0" applyNumberFormat="1"/>
    <xf numFmtId="0" fontId="2" fillId="0" borderId="0" xfId="0" applyFont="1"/>
    <xf numFmtId="0" fontId="0" fillId="0" borderId="0" xfId="0"/>
    <xf numFmtId="0" fontId="1" fillId="0" borderId="0" xfId="0" applyFont="1"/>
    <xf numFmtId="0" fontId="6" fillId="0" borderId="0" xfId="0" applyFont="1" applyAlignment="1">
      <alignment wrapText="1"/>
    </xf>
    <xf numFmtId="0" fontId="4" fillId="6" borderId="1" xfId="0" applyFont="1" applyFill="1" applyBorder="1"/>
    <xf numFmtId="0" fontId="0" fillId="0" borderId="2" xfId="0" applyBorder="1"/>
    <xf numFmtId="0" fontId="0" fillId="0" borderId="3" xfId="0" applyBorder="1"/>
  </cellXfs>
  <cellStyles count="1">
    <cellStyle name="Standard"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EBF1DE"/>
      <rgbColor rgb="FFDCE6F1"/>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DEADA"/>
      <rgbColor rgb="FF99CCFF"/>
      <rgbColor rgb="FFFF99CC"/>
      <rgbColor rgb="FFCC99FF"/>
      <rgbColor rgb="FFFFCC99"/>
      <rgbColor rgb="FF4F81BD"/>
      <rgbColor rgb="FF33CCCC"/>
      <rgbColor rgb="FF99CC00"/>
      <rgbColor rgb="FFFFCC00"/>
      <rgbColor rgb="FFFF9900"/>
      <rgbColor rgb="FFFF6600"/>
      <rgbColor rgb="FF595959"/>
      <rgbColor rgb="FFB3B3B3"/>
      <rgbColor rgb="FF1F3864"/>
      <rgbColor rgb="FF339966"/>
      <rgbColor rgb="FF003300"/>
      <rgbColor rgb="FF333300"/>
      <rgbColor rgb="FF993300"/>
      <rgbColor rgb="FF993366"/>
      <rgbColor rgb="FF333399"/>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1"/>
  <c:style val="2"/>
  <c:chart>
    <c:title>
      <c:tx>
        <c:rich>
          <a:bodyPr rot="0"/>
          <a:lstStyle/>
          <a:p>
            <a:pPr>
              <a:defRPr lang="de-DE" sz="1400" b="0" strike="noStrike" spc="-1">
                <a:solidFill>
                  <a:srgbClr val="595959"/>
                </a:solidFill>
                <a:latin typeface="Calibri"/>
              </a:defRPr>
            </a:pPr>
            <a:r>
              <a:rPr lang="de-DE" sz="1400" b="0" strike="noStrike" spc="-1">
                <a:solidFill>
                  <a:srgbClr val="595959"/>
                </a:solidFill>
                <a:latin typeface="Calibri"/>
              </a:rPr>
              <a:t>Jährliche Nettoentnahme in der Auszahlphase</a:t>
            </a:r>
          </a:p>
        </c:rich>
      </c:tx>
      <c:overlay val="0"/>
      <c:spPr>
        <a:noFill/>
        <a:ln w="0">
          <a:noFill/>
          <a:prstDash val="solid"/>
        </a:ln>
      </c:spPr>
    </c:title>
    <c:autoTitleDeleted val="0"/>
    <c:plotArea>
      <c:layout/>
      <c:barChart>
        <c:barDir val="col"/>
        <c:grouping val="clustered"/>
        <c:varyColors val="0"/>
        <c:ser>
          <c:idx val="0"/>
          <c:order val="0"/>
          <c:tx>
            <c:strRef>
              <c:f>Auszahlplan!$F$4</c:f>
              <c:strCache>
                <c:ptCount val="1"/>
                <c:pt idx="0">
                  <c:v>Entnahme
netto (EUR)</c:v>
                </c:pt>
              </c:strCache>
            </c:strRef>
          </c:tx>
          <c:spPr>
            <a:solidFill>
              <a:srgbClr val="4F81BD"/>
            </a:solidFill>
            <a:ln w="0">
              <a:noFill/>
              <a:prstDash val="solid"/>
            </a:ln>
          </c:spPr>
          <c:invertIfNegative val="0"/>
          <c:dLbls>
            <c:spPr>
              <a:noFill/>
              <a:ln>
                <a:noFill/>
              </a:ln>
              <a:effectLst/>
            </c:spPr>
            <c:txPr>
              <a:bodyPr wrap="square"/>
              <a:lstStyle/>
              <a:p>
                <a:pPr>
                  <a:defRPr sz="900" b="0" strike="noStrike" spc="-1">
                    <a:solidFill>
                      <a:srgbClr val="404040"/>
                    </a:solidFill>
                    <a:latin typeface="Calibri"/>
                  </a:defRPr>
                </a:pPr>
                <a:endParaRPr lang="de-DE"/>
              </a:p>
            </c:txPr>
            <c:dLblPos val="outEnd"/>
            <c:showLegendKey val="0"/>
            <c:showVal val="1"/>
            <c:showCatName val="0"/>
            <c:showSerName val="0"/>
            <c:showPercent val="0"/>
            <c:showBubbleSize val="1"/>
            <c:showLeaderLines val="0"/>
            <c:extLst>
              <c:ext xmlns:c15="http://schemas.microsoft.com/office/drawing/2012/chart" uri="{CE6537A1-D6FC-4f65-9D91-7224C49458BB}">
                <c15:showLeaderLines val="0"/>
              </c:ext>
            </c:extLst>
          </c:dLbls>
          <c:cat>
            <c:numRef>
              <c:f>Auszahlplan!$B$5:$B$22</c:f>
              <c:numCache>
                <c:formatCode>0</c:formatCode>
                <c:ptCount val="18"/>
                <c:pt idx="0">
                  <c:v>70</c:v>
                </c:pt>
                <c:pt idx="1">
                  <c:v>71</c:v>
                </c:pt>
                <c:pt idx="2">
                  <c:v>72</c:v>
                </c:pt>
                <c:pt idx="3">
                  <c:v>73</c:v>
                </c:pt>
                <c:pt idx="4">
                  <c:v>74</c:v>
                </c:pt>
                <c:pt idx="5">
                  <c:v>75</c:v>
                </c:pt>
                <c:pt idx="6">
                  <c:v>76</c:v>
                </c:pt>
                <c:pt idx="7">
                  <c:v>77</c:v>
                </c:pt>
                <c:pt idx="8">
                  <c:v>78</c:v>
                </c:pt>
                <c:pt idx="9">
                  <c:v>79</c:v>
                </c:pt>
                <c:pt idx="10">
                  <c:v>80</c:v>
                </c:pt>
                <c:pt idx="11">
                  <c:v>81</c:v>
                </c:pt>
                <c:pt idx="12">
                  <c:v>82</c:v>
                </c:pt>
                <c:pt idx="13">
                  <c:v>83</c:v>
                </c:pt>
                <c:pt idx="14">
                  <c:v>84</c:v>
                </c:pt>
                <c:pt idx="15">
                  <c:v>85</c:v>
                </c:pt>
                <c:pt idx="16">
                  <c:v>86</c:v>
                </c:pt>
                <c:pt idx="17">
                  <c:v>87</c:v>
                </c:pt>
              </c:numCache>
            </c:numRef>
          </c:cat>
          <c:val>
            <c:numRef>
              <c:f>Auszahlplan!$F$5:$F$22</c:f>
              <c:numCache>
                <c:formatCode>#,##0</c:formatCode>
                <c:ptCount val="18"/>
                <c:pt idx="0">
                  <c:v>17613.547060804256</c:v>
                </c:pt>
                <c:pt idx="1">
                  <c:v>17613.547060804256</c:v>
                </c:pt>
                <c:pt idx="2">
                  <c:v>17613.547060804256</c:v>
                </c:pt>
                <c:pt idx="3">
                  <c:v>17613.547060804256</c:v>
                </c:pt>
                <c:pt idx="4">
                  <c:v>17613.547060804256</c:v>
                </c:pt>
                <c:pt idx="5">
                  <c:v>17613.547060804256</c:v>
                </c:pt>
                <c:pt idx="6">
                  <c:v>17613.547060804256</c:v>
                </c:pt>
                <c:pt idx="7">
                  <c:v>17613.547060804256</c:v>
                </c:pt>
                <c:pt idx="8">
                  <c:v>17613.547060804256</c:v>
                </c:pt>
                <c:pt idx="9">
                  <c:v>17613.547060804256</c:v>
                </c:pt>
                <c:pt idx="10">
                  <c:v>17613.547060804256</c:v>
                </c:pt>
                <c:pt idx="11">
                  <c:v>17613.547060804256</c:v>
                </c:pt>
                <c:pt idx="12">
                  <c:v>17613.547060804256</c:v>
                </c:pt>
                <c:pt idx="13">
                  <c:v>17613.547060804256</c:v>
                </c:pt>
                <c:pt idx="14">
                  <c:v>17613.547060804256</c:v>
                </c:pt>
                <c:pt idx="15">
                  <c:v>17613.547060804256</c:v>
                </c:pt>
                <c:pt idx="16">
                  <c:v>17613.547060804256</c:v>
                </c:pt>
                <c:pt idx="17">
                  <c:v>17613.547060804256</c:v>
                </c:pt>
              </c:numCache>
            </c:numRef>
          </c:val>
          <c:extLst>
            <c:ext xmlns:c16="http://schemas.microsoft.com/office/drawing/2014/chart" uri="{C3380CC4-5D6E-409C-BE32-E72D297353CC}">
              <c16:uniqueId val="{00000000-09EE-4193-AF0F-8D91033BD1A5}"/>
            </c:ext>
          </c:extLst>
        </c:ser>
        <c:dLbls>
          <c:showLegendKey val="0"/>
          <c:showVal val="0"/>
          <c:showCatName val="0"/>
          <c:showSerName val="0"/>
          <c:showPercent val="0"/>
          <c:showBubbleSize val="0"/>
        </c:dLbls>
        <c:gapWidth val="219"/>
        <c:overlap val="-27"/>
        <c:axId val="15664781"/>
        <c:axId val="62717732"/>
      </c:barChart>
      <c:catAx>
        <c:axId val="15664781"/>
        <c:scaling>
          <c:orientation val="minMax"/>
        </c:scaling>
        <c:delete val="0"/>
        <c:axPos val="b"/>
        <c:title>
          <c:tx>
            <c:rich>
              <a:bodyPr rot="0"/>
              <a:lstStyle/>
              <a:p>
                <a:pPr>
                  <a:defRPr lang="de-DE" sz="1000" b="0" strike="noStrike" spc="-1">
                    <a:solidFill>
                      <a:srgbClr val="595959"/>
                    </a:solidFill>
                    <a:latin typeface="Calibri"/>
                  </a:defRPr>
                </a:pPr>
                <a:r>
                  <a:rPr lang="de-DE" sz="1000" b="0" strike="noStrike" spc="-1">
                    <a:solidFill>
                      <a:srgbClr val="595959"/>
                    </a:solidFill>
                    <a:latin typeface="Calibri"/>
                  </a:rPr>
                  <a:t>Alter</a:t>
                </a:r>
              </a:p>
            </c:rich>
          </c:tx>
          <c:overlay val="0"/>
          <c:spPr>
            <a:noFill/>
            <a:ln w="0">
              <a:noFill/>
              <a:prstDash val="solid"/>
            </a:ln>
          </c:spPr>
        </c:title>
        <c:numFmt formatCode="0" sourceLinked="0"/>
        <c:majorTickMark val="none"/>
        <c:minorTickMark val="none"/>
        <c:tickLblPos val="nextTo"/>
        <c:spPr>
          <a:ln w="9360">
            <a:solidFill>
              <a:srgbClr val="D9D9D9"/>
            </a:solidFill>
            <a:prstDash val="solid"/>
            <a:round/>
          </a:ln>
        </c:spPr>
        <c:txPr>
          <a:bodyPr/>
          <a:lstStyle/>
          <a:p>
            <a:pPr>
              <a:defRPr sz="900" b="0" strike="noStrike" spc="-1">
                <a:solidFill>
                  <a:srgbClr val="595959"/>
                </a:solidFill>
                <a:latin typeface="Calibri"/>
              </a:defRPr>
            </a:pPr>
            <a:endParaRPr lang="de-DE"/>
          </a:p>
        </c:txPr>
        <c:crossAx val="62717732"/>
        <c:crosses val="autoZero"/>
        <c:auto val="1"/>
        <c:lblAlgn val="ctr"/>
        <c:lblOffset val="100"/>
        <c:noMultiLvlLbl val="0"/>
      </c:catAx>
      <c:valAx>
        <c:axId val="62717732"/>
        <c:scaling>
          <c:orientation val="minMax"/>
          <c:min val="0"/>
        </c:scaling>
        <c:delete val="0"/>
        <c:axPos val="l"/>
        <c:majorGridlines>
          <c:spPr>
            <a:ln w="9360">
              <a:solidFill>
                <a:srgbClr val="D9D9D9"/>
              </a:solidFill>
              <a:prstDash val="solid"/>
              <a:round/>
            </a:ln>
          </c:spPr>
        </c:majorGridlines>
        <c:title>
          <c:tx>
            <c:rich>
              <a:bodyPr rot="-5400000"/>
              <a:lstStyle/>
              <a:p>
                <a:pPr>
                  <a:defRPr lang="de-DE" sz="1000" b="0" strike="noStrike" spc="-1">
                    <a:solidFill>
                      <a:srgbClr val="595959"/>
                    </a:solidFill>
                    <a:latin typeface="Calibri"/>
                  </a:defRPr>
                </a:pPr>
                <a:r>
                  <a:rPr lang="de-DE" sz="1000" b="0" strike="noStrike" spc="-1">
                    <a:solidFill>
                      <a:srgbClr val="595959"/>
                    </a:solidFill>
                    <a:latin typeface="Calibri"/>
                  </a:rPr>
                  <a:t>Nettoentnahme p.a. (EUR)</a:t>
                </a:r>
              </a:p>
            </c:rich>
          </c:tx>
          <c:overlay val="0"/>
          <c:spPr>
            <a:noFill/>
            <a:ln w="0">
              <a:noFill/>
              <a:prstDash val="solid"/>
            </a:ln>
          </c:spPr>
        </c:title>
        <c:numFmt formatCode="#,##0" sourceLinked="0"/>
        <c:majorTickMark val="none"/>
        <c:minorTickMark val="none"/>
        <c:tickLblPos val="nextTo"/>
        <c:spPr>
          <a:ln w="9360">
            <a:noFill/>
            <a:prstDash val="solid"/>
          </a:ln>
        </c:spPr>
        <c:txPr>
          <a:bodyPr/>
          <a:lstStyle/>
          <a:p>
            <a:pPr>
              <a:defRPr sz="900" b="0" strike="noStrike" spc="-1">
                <a:solidFill>
                  <a:srgbClr val="595959"/>
                </a:solidFill>
                <a:latin typeface="Calibri"/>
              </a:defRPr>
            </a:pPr>
            <a:endParaRPr lang="de-DE"/>
          </a:p>
        </c:txPr>
        <c:crossAx val="15664781"/>
        <c:crosses val="autoZero"/>
        <c:crossBetween val="between"/>
      </c:valAx>
    </c:plotArea>
    <c:legend>
      <c:legendPos val="b"/>
      <c:overlay val="0"/>
      <c:spPr>
        <a:noFill/>
        <a:ln w="0">
          <a:noFill/>
          <a:prstDash val="solid"/>
        </a:ln>
      </c:spPr>
      <c:txPr>
        <a:bodyPr/>
        <a:lstStyle/>
        <a:p>
          <a:pPr>
            <a:defRPr sz="900" b="0" strike="noStrike" spc="-1">
              <a:solidFill>
                <a:srgbClr val="595959"/>
              </a:solidFill>
              <a:latin typeface="Calibri"/>
            </a:defRPr>
          </a:pPr>
          <a:endParaRPr lang="de-DE"/>
        </a:p>
      </c:txPr>
    </c:legend>
    <c:plotVisOnly val="1"/>
    <c:dispBlanksAs val="gap"/>
    <c:showDLblsOverMax val="1"/>
  </c:chart>
  <c:spPr>
    <a:solidFill>
      <a:srgbClr val="FFFFFF"/>
    </a:solidFill>
    <a:ln w="9360">
      <a:solidFill>
        <a:srgbClr val="D9D9D9"/>
      </a:solidFill>
      <a:prstDash val="solid"/>
      <a:round/>
    </a:ln>
  </c:sp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Depotverlauf: Kapitalaufbau und -entnahme</a:t>
            </a:r>
          </a:p>
        </c:rich>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lineChart>
        <c:grouping val="standard"/>
        <c:varyColors val="1"/>
        <c:ser>
          <c:idx val="0"/>
          <c:order val="0"/>
          <c:tx>
            <c:strRef>
              <c:f>Grafik!$R$4</c:f>
              <c:strCache>
                <c:ptCount val="1"/>
                <c:pt idx="0">
                  <c:v>Depotkapital (EUR)</c:v>
                </c:pt>
              </c:strCache>
            </c:strRef>
          </c:tx>
          <c:marker>
            <c:symbol val="none"/>
          </c:marker>
          <c:dPt>
            <c:idx val="0"/>
            <c:marker>
              <c:symbol val="none"/>
            </c:marker>
            <c:bubble3D val="0"/>
            <c:spPr>
              <a:ln w="28575" cap="rnd">
                <a:solidFill>
                  <a:schemeClr val="accent1"/>
                </a:solidFill>
                <a:round/>
              </a:ln>
              <a:effectLst/>
            </c:spPr>
            <c:extLst>
              <c:ext xmlns:c16="http://schemas.microsoft.com/office/drawing/2014/chart" uri="{C3380CC4-5D6E-409C-BE32-E72D297353CC}">
                <c16:uniqueId val="{00000001-01D3-4CCE-B2EC-949FC3F3ED45}"/>
              </c:ext>
            </c:extLst>
          </c:dPt>
          <c:dPt>
            <c:idx val="1"/>
            <c:marker>
              <c:symbol val="none"/>
            </c:marker>
            <c:bubble3D val="0"/>
            <c:spPr>
              <a:ln w="28575" cap="rnd">
                <a:solidFill>
                  <a:schemeClr val="accent2"/>
                </a:solidFill>
                <a:round/>
              </a:ln>
              <a:effectLst/>
            </c:spPr>
            <c:extLst>
              <c:ext xmlns:c16="http://schemas.microsoft.com/office/drawing/2014/chart" uri="{C3380CC4-5D6E-409C-BE32-E72D297353CC}">
                <c16:uniqueId val="{00000003-01D3-4CCE-B2EC-949FC3F3ED45}"/>
              </c:ext>
            </c:extLst>
          </c:dPt>
          <c:dPt>
            <c:idx val="2"/>
            <c:marker>
              <c:symbol val="none"/>
            </c:marker>
            <c:bubble3D val="0"/>
            <c:spPr>
              <a:ln w="28575" cap="rnd">
                <a:solidFill>
                  <a:schemeClr val="accent3"/>
                </a:solidFill>
                <a:round/>
              </a:ln>
              <a:effectLst/>
            </c:spPr>
            <c:extLst>
              <c:ext xmlns:c16="http://schemas.microsoft.com/office/drawing/2014/chart" uri="{C3380CC4-5D6E-409C-BE32-E72D297353CC}">
                <c16:uniqueId val="{00000005-01D3-4CCE-B2EC-949FC3F3ED45}"/>
              </c:ext>
            </c:extLst>
          </c:dPt>
          <c:dPt>
            <c:idx val="3"/>
            <c:marker>
              <c:symbol val="none"/>
            </c:marker>
            <c:bubble3D val="0"/>
            <c:spPr>
              <a:ln w="28575" cap="rnd">
                <a:solidFill>
                  <a:schemeClr val="accent4"/>
                </a:solidFill>
                <a:round/>
              </a:ln>
              <a:effectLst/>
            </c:spPr>
            <c:extLst>
              <c:ext xmlns:c16="http://schemas.microsoft.com/office/drawing/2014/chart" uri="{C3380CC4-5D6E-409C-BE32-E72D297353CC}">
                <c16:uniqueId val="{00000007-01D3-4CCE-B2EC-949FC3F3ED45}"/>
              </c:ext>
            </c:extLst>
          </c:dPt>
          <c:dPt>
            <c:idx val="4"/>
            <c:marker>
              <c:symbol val="none"/>
            </c:marker>
            <c:bubble3D val="0"/>
            <c:spPr>
              <a:ln w="28575" cap="rnd">
                <a:solidFill>
                  <a:schemeClr val="accent5"/>
                </a:solidFill>
                <a:round/>
              </a:ln>
              <a:effectLst/>
            </c:spPr>
            <c:extLst>
              <c:ext xmlns:c16="http://schemas.microsoft.com/office/drawing/2014/chart" uri="{C3380CC4-5D6E-409C-BE32-E72D297353CC}">
                <c16:uniqueId val="{00000009-01D3-4CCE-B2EC-949FC3F3ED45}"/>
              </c:ext>
            </c:extLst>
          </c:dPt>
          <c:dPt>
            <c:idx val="5"/>
            <c:marker>
              <c:symbol val="none"/>
            </c:marker>
            <c:bubble3D val="0"/>
            <c:spPr>
              <a:ln w="28575" cap="rnd">
                <a:solidFill>
                  <a:schemeClr val="accent6"/>
                </a:solidFill>
                <a:round/>
              </a:ln>
              <a:effectLst/>
            </c:spPr>
            <c:extLst>
              <c:ext xmlns:c16="http://schemas.microsoft.com/office/drawing/2014/chart" uri="{C3380CC4-5D6E-409C-BE32-E72D297353CC}">
                <c16:uniqueId val="{0000000B-01D3-4CCE-B2EC-949FC3F3ED45}"/>
              </c:ext>
            </c:extLst>
          </c:dPt>
          <c:dPt>
            <c:idx val="6"/>
            <c:marker>
              <c:symbol val="none"/>
            </c:marker>
            <c:bubble3D val="0"/>
            <c:spPr>
              <a:ln w="28575" cap="rnd">
                <a:solidFill>
                  <a:schemeClr val="accent1">
                    <a:lumMod val="60000"/>
                  </a:schemeClr>
                </a:solidFill>
                <a:round/>
              </a:ln>
              <a:effectLst/>
            </c:spPr>
            <c:extLst>
              <c:ext xmlns:c16="http://schemas.microsoft.com/office/drawing/2014/chart" uri="{C3380CC4-5D6E-409C-BE32-E72D297353CC}">
                <c16:uniqueId val="{0000000D-01D3-4CCE-B2EC-949FC3F3ED45}"/>
              </c:ext>
            </c:extLst>
          </c:dPt>
          <c:dPt>
            <c:idx val="7"/>
            <c:marker>
              <c:symbol val="none"/>
            </c:marker>
            <c:bubble3D val="0"/>
            <c:spPr>
              <a:ln w="28575" cap="rnd">
                <a:solidFill>
                  <a:schemeClr val="accent2">
                    <a:lumMod val="60000"/>
                  </a:schemeClr>
                </a:solidFill>
                <a:round/>
              </a:ln>
              <a:effectLst/>
            </c:spPr>
            <c:extLst>
              <c:ext xmlns:c16="http://schemas.microsoft.com/office/drawing/2014/chart" uri="{C3380CC4-5D6E-409C-BE32-E72D297353CC}">
                <c16:uniqueId val="{0000000F-01D3-4CCE-B2EC-949FC3F3ED45}"/>
              </c:ext>
            </c:extLst>
          </c:dPt>
          <c:dPt>
            <c:idx val="8"/>
            <c:marker>
              <c:symbol val="none"/>
            </c:marker>
            <c:bubble3D val="0"/>
            <c:spPr>
              <a:ln w="28575" cap="rnd">
                <a:solidFill>
                  <a:schemeClr val="accent3">
                    <a:lumMod val="60000"/>
                  </a:schemeClr>
                </a:solidFill>
                <a:round/>
              </a:ln>
              <a:effectLst/>
            </c:spPr>
            <c:extLst>
              <c:ext xmlns:c16="http://schemas.microsoft.com/office/drawing/2014/chart" uri="{C3380CC4-5D6E-409C-BE32-E72D297353CC}">
                <c16:uniqueId val="{00000011-01D3-4CCE-B2EC-949FC3F3ED45}"/>
              </c:ext>
            </c:extLst>
          </c:dPt>
          <c:dPt>
            <c:idx val="9"/>
            <c:marker>
              <c:symbol val="none"/>
            </c:marker>
            <c:bubble3D val="0"/>
            <c:spPr>
              <a:ln w="28575" cap="rnd">
                <a:solidFill>
                  <a:schemeClr val="accent4">
                    <a:lumMod val="60000"/>
                  </a:schemeClr>
                </a:solidFill>
                <a:round/>
              </a:ln>
              <a:effectLst/>
            </c:spPr>
            <c:extLst>
              <c:ext xmlns:c16="http://schemas.microsoft.com/office/drawing/2014/chart" uri="{C3380CC4-5D6E-409C-BE32-E72D297353CC}">
                <c16:uniqueId val="{00000013-01D3-4CCE-B2EC-949FC3F3ED45}"/>
              </c:ext>
            </c:extLst>
          </c:dPt>
          <c:dPt>
            <c:idx val="10"/>
            <c:marker>
              <c:symbol val="none"/>
            </c:marker>
            <c:bubble3D val="0"/>
            <c:spPr>
              <a:ln w="28575" cap="rnd">
                <a:solidFill>
                  <a:schemeClr val="accent5">
                    <a:lumMod val="60000"/>
                  </a:schemeClr>
                </a:solidFill>
                <a:round/>
              </a:ln>
              <a:effectLst/>
            </c:spPr>
            <c:extLst>
              <c:ext xmlns:c16="http://schemas.microsoft.com/office/drawing/2014/chart" uri="{C3380CC4-5D6E-409C-BE32-E72D297353CC}">
                <c16:uniqueId val="{00000015-01D3-4CCE-B2EC-949FC3F3ED45}"/>
              </c:ext>
            </c:extLst>
          </c:dPt>
          <c:dPt>
            <c:idx val="11"/>
            <c:marker>
              <c:symbol val="none"/>
            </c:marker>
            <c:bubble3D val="0"/>
            <c:spPr>
              <a:ln w="28575" cap="rnd">
                <a:solidFill>
                  <a:schemeClr val="accent6">
                    <a:lumMod val="60000"/>
                  </a:schemeClr>
                </a:solidFill>
                <a:round/>
              </a:ln>
              <a:effectLst/>
            </c:spPr>
            <c:extLst>
              <c:ext xmlns:c16="http://schemas.microsoft.com/office/drawing/2014/chart" uri="{C3380CC4-5D6E-409C-BE32-E72D297353CC}">
                <c16:uniqueId val="{00000017-01D3-4CCE-B2EC-949FC3F3ED45}"/>
              </c:ext>
            </c:extLst>
          </c:dPt>
          <c:dPt>
            <c:idx val="12"/>
            <c:marker>
              <c:symbol val="none"/>
            </c:marker>
            <c:bubble3D val="0"/>
            <c:spPr>
              <a:ln w="28575" cap="rnd">
                <a:solidFill>
                  <a:schemeClr val="accent1">
                    <a:lumMod val="80000"/>
                    <a:lumOff val="20000"/>
                  </a:schemeClr>
                </a:solidFill>
                <a:round/>
              </a:ln>
              <a:effectLst/>
            </c:spPr>
            <c:extLst>
              <c:ext xmlns:c16="http://schemas.microsoft.com/office/drawing/2014/chart" uri="{C3380CC4-5D6E-409C-BE32-E72D297353CC}">
                <c16:uniqueId val="{00000019-01D3-4CCE-B2EC-949FC3F3ED45}"/>
              </c:ext>
            </c:extLst>
          </c:dPt>
          <c:dPt>
            <c:idx val="13"/>
            <c:marker>
              <c:symbol val="none"/>
            </c:marker>
            <c:bubble3D val="0"/>
            <c:spPr>
              <a:ln w="28575" cap="rnd">
                <a:solidFill>
                  <a:schemeClr val="accent2">
                    <a:lumMod val="80000"/>
                    <a:lumOff val="20000"/>
                  </a:schemeClr>
                </a:solidFill>
                <a:round/>
              </a:ln>
              <a:effectLst/>
            </c:spPr>
            <c:extLst>
              <c:ext xmlns:c16="http://schemas.microsoft.com/office/drawing/2014/chart" uri="{C3380CC4-5D6E-409C-BE32-E72D297353CC}">
                <c16:uniqueId val="{0000001B-01D3-4CCE-B2EC-949FC3F3ED45}"/>
              </c:ext>
            </c:extLst>
          </c:dPt>
          <c:dPt>
            <c:idx val="14"/>
            <c:marker>
              <c:symbol val="none"/>
            </c:marker>
            <c:bubble3D val="0"/>
            <c:spPr>
              <a:ln w="28575" cap="rnd">
                <a:solidFill>
                  <a:schemeClr val="accent3">
                    <a:lumMod val="80000"/>
                    <a:lumOff val="20000"/>
                  </a:schemeClr>
                </a:solidFill>
                <a:round/>
              </a:ln>
              <a:effectLst/>
            </c:spPr>
            <c:extLst>
              <c:ext xmlns:c16="http://schemas.microsoft.com/office/drawing/2014/chart" uri="{C3380CC4-5D6E-409C-BE32-E72D297353CC}">
                <c16:uniqueId val="{0000001D-01D3-4CCE-B2EC-949FC3F3ED45}"/>
              </c:ext>
            </c:extLst>
          </c:dPt>
          <c:dPt>
            <c:idx val="15"/>
            <c:marker>
              <c:symbol val="none"/>
            </c:marker>
            <c:bubble3D val="0"/>
            <c:spPr>
              <a:ln w="28575" cap="rnd">
                <a:solidFill>
                  <a:schemeClr val="accent4">
                    <a:lumMod val="80000"/>
                    <a:lumOff val="20000"/>
                  </a:schemeClr>
                </a:solidFill>
                <a:round/>
              </a:ln>
              <a:effectLst/>
            </c:spPr>
            <c:extLst>
              <c:ext xmlns:c16="http://schemas.microsoft.com/office/drawing/2014/chart" uri="{C3380CC4-5D6E-409C-BE32-E72D297353CC}">
                <c16:uniqueId val="{0000001F-01D3-4CCE-B2EC-949FC3F3ED45}"/>
              </c:ext>
            </c:extLst>
          </c:dPt>
          <c:dPt>
            <c:idx val="16"/>
            <c:marker>
              <c:symbol val="none"/>
            </c:marker>
            <c:bubble3D val="0"/>
            <c:spPr>
              <a:ln w="28575" cap="rnd">
                <a:solidFill>
                  <a:schemeClr val="accent5">
                    <a:lumMod val="80000"/>
                    <a:lumOff val="20000"/>
                  </a:schemeClr>
                </a:solidFill>
                <a:round/>
              </a:ln>
              <a:effectLst/>
            </c:spPr>
            <c:extLst>
              <c:ext xmlns:c16="http://schemas.microsoft.com/office/drawing/2014/chart" uri="{C3380CC4-5D6E-409C-BE32-E72D297353CC}">
                <c16:uniqueId val="{00000021-01D3-4CCE-B2EC-949FC3F3ED45}"/>
              </c:ext>
            </c:extLst>
          </c:dPt>
          <c:dPt>
            <c:idx val="17"/>
            <c:marker>
              <c:symbol val="none"/>
            </c:marker>
            <c:bubble3D val="0"/>
            <c:spPr>
              <a:ln w="28575" cap="rnd">
                <a:solidFill>
                  <a:schemeClr val="accent6">
                    <a:lumMod val="80000"/>
                    <a:lumOff val="20000"/>
                  </a:schemeClr>
                </a:solidFill>
                <a:round/>
              </a:ln>
              <a:effectLst/>
            </c:spPr>
            <c:extLst>
              <c:ext xmlns:c16="http://schemas.microsoft.com/office/drawing/2014/chart" uri="{C3380CC4-5D6E-409C-BE32-E72D297353CC}">
                <c16:uniqueId val="{00000023-01D3-4CCE-B2EC-949FC3F3ED45}"/>
              </c:ext>
            </c:extLst>
          </c:dPt>
          <c:dPt>
            <c:idx val="18"/>
            <c:marker>
              <c:symbol val="none"/>
            </c:marker>
            <c:bubble3D val="0"/>
            <c:spPr>
              <a:ln w="28575" cap="rnd">
                <a:solidFill>
                  <a:schemeClr val="accent1">
                    <a:lumMod val="80000"/>
                  </a:schemeClr>
                </a:solidFill>
                <a:round/>
              </a:ln>
              <a:effectLst/>
            </c:spPr>
            <c:extLst>
              <c:ext xmlns:c16="http://schemas.microsoft.com/office/drawing/2014/chart" uri="{C3380CC4-5D6E-409C-BE32-E72D297353CC}">
                <c16:uniqueId val="{00000025-01D3-4CCE-B2EC-949FC3F3ED45}"/>
              </c:ext>
            </c:extLst>
          </c:dPt>
          <c:dPt>
            <c:idx val="19"/>
            <c:marker>
              <c:symbol val="none"/>
            </c:marker>
            <c:bubble3D val="0"/>
            <c:spPr>
              <a:ln w="28575" cap="rnd">
                <a:solidFill>
                  <a:schemeClr val="accent2">
                    <a:lumMod val="80000"/>
                  </a:schemeClr>
                </a:solidFill>
                <a:round/>
              </a:ln>
              <a:effectLst/>
            </c:spPr>
            <c:extLst>
              <c:ext xmlns:c16="http://schemas.microsoft.com/office/drawing/2014/chart" uri="{C3380CC4-5D6E-409C-BE32-E72D297353CC}">
                <c16:uniqueId val="{00000027-01D3-4CCE-B2EC-949FC3F3ED45}"/>
              </c:ext>
            </c:extLst>
          </c:dPt>
          <c:dPt>
            <c:idx val="20"/>
            <c:marker>
              <c:symbol val="none"/>
            </c:marker>
            <c:bubble3D val="0"/>
            <c:spPr>
              <a:ln w="28575" cap="rnd">
                <a:solidFill>
                  <a:schemeClr val="accent3">
                    <a:lumMod val="80000"/>
                  </a:schemeClr>
                </a:solidFill>
                <a:round/>
              </a:ln>
              <a:effectLst/>
            </c:spPr>
            <c:extLst>
              <c:ext xmlns:c16="http://schemas.microsoft.com/office/drawing/2014/chart" uri="{C3380CC4-5D6E-409C-BE32-E72D297353CC}">
                <c16:uniqueId val="{00000029-01D3-4CCE-B2EC-949FC3F3ED45}"/>
              </c:ext>
            </c:extLst>
          </c:dPt>
          <c:dPt>
            <c:idx val="21"/>
            <c:marker>
              <c:symbol val="none"/>
            </c:marker>
            <c:bubble3D val="0"/>
            <c:spPr>
              <a:ln w="28575" cap="rnd">
                <a:solidFill>
                  <a:schemeClr val="accent4">
                    <a:lumMod val="80000"/>
                  </a:schemeClr>
                </a:solidFill>
                <a:round/>
              </a:ln>
              <a:effectLst/>
            </c:spPr>
            <c:extLst>
              <c:ext xmlns:c16="http://schemas.microsoft.com/office/drawing/2014/chart" uri="{C3380CC4-5D6E-409C-BE32-E72D297353CC}">
                <c16:uniqueId val="{0000002B-01D3-4CCE-B2EC-949FC3F3ED45}"/>
              </c:ext>
            </c:extLst>
          </c:dPt>
          <c:dPt>
            <c:idx val="22"/>
            <c:marker>
              <c:symbol val="none"/>
            </c:marker>
            <c:bubble3D val="0"/>
            <c:spPr>
              <a:ln w="28575" cap="rnd">
                <a:solidFill>
                  <a:schemeClr val="accent5">
                    <a:lumMod val="80000"/>
                  </a:schemeClr>
                </a:solidFill>
                <a:round/>
              </a:ln>
              <a:effectLst/>
            </c:spPr>
            <c:extLst>
              <c:ext xmlns:c16="http://schemas.microsoft.com/office/drawing/2014/chart" uri="{C3380CC4-5D6E-409C-BE32-E72D297353CC}">
                <c16:uniqueId val="{0000002D-01D3-4CCE-B2EC-949FC3F3ED45}"/>
              </c:ext>
            </c:extLst>
          </c:dPt>
          <c:dPt>
            <c:idx val="23"/>
            <c:marker>
              <c:symbol val="none"/>
            </c:marker>
            <c:bubble3D val="0"/>
            <c:spPr>
              <a:ln w="28575" cap="rnd">
                <a:solidFill>
                  <a:schemeClr val="accent6">
                    <a:lumMod val="80000"/>
                  </a:schemeClr>
                </a:solidFill>
                <a:round/>
              </a:ln>
              <a:effectLst/>
            </c:spPr>
            <c:extLst>
              <c:ext xmlns:c16="http://schemas.microsoft.com/office/drawing/2014/chart" uri="{C3380CC4-5D6E-409C-BE32-E72D297353CC}">
                <c16:uniqueId val="{0000002F-01D3-4CCE-B2EC-949FC3F3ED45}"/>
              </c:ext>
            </c:extLst>
          </c:dPt>
          <c:dPt>
            <c:idx val="24"/>
            <c:marker>
              <c:symbol val="none"/>
            </c:marker>
            <c:bubble3D val="0"/>
            <c:spPr>
              <a:ln w="28575" cap="rnd">
                <a:solidFill>
                  <a:schemeClr val="accent1">
                    <a:lumMod val="60000"/>
                    <a:lumOff val="40000"/>
                  </a:schemeClr>
                </a:solidFill>
                <a:round/>
              </a:ln>
              <a:effectLst/>
            </c:spPr>
            <c:extLst>
              <c:ext xmlns:c16="http://schemas.microsoft.com/office/drawing/2014/chart" uri="{C3380CC4-5D6E-409C-BE32-E72D297353CC}">
                <c16:uniqueId val="{00000031-01D3-4CCE-B2EC-949FC3F3ED45}"/>
              </c:ext>
            </c:extLst>
          </c:dPt>
          <c:dPt>
            <c:idx val="25"/>
            <c:marker>
              <c:symbol val="none"/>
            </c:marker>
            <c:bubble3D val="0"/>
            <c:spPr>
              <a:ln w="28575" cap="rnd">
                <a:solidFill>
                  <a:schemeClr val="accent2">
                    <a:lumMod val="60000"/>
                    <a:lumOff val="40000"/>
                  </a:schemeClr>
                </a:solidFill>
                <a:round/>
              </a:ln>
              <a:effectLst/>
            </c:spPr>
            <c:extLst>
              <c:ext xmlns:c16="http://schemas.microsoft.com/office/drawing/2014/chart" uri="{C3380CC4-5D6E-409C-BE32-E72D297353CC}">
                <c16:uniqueId val="{00000033-01D3-4CCE-B2EC-949FC3F3ED45}"/>
              </c:ext>
            </c:extLst>
          </c:dPt>
          <c:dPt>
            <c:idx val="26"/>
            <c:marker>
              <c:symbol val="none"/>
            </c:marker>
            <c:bubble3D val="0"/>
            <c:spPr>
              <a:ln w="28575" cap="rnd">
                <a:solidFill>
                  <a:schemeClr val="accent3">
                    <a:lumMod val="60000"/>
                    <a:lumOff val="40000"/>
                  </a:schemeClr>
                </a:solidFill>
                <a:round/>
              </a:ln>
              <a:effectLst/>
            </c:spPr>
            <c:extLst>
              <c:ext xmlns:c16="http://schemas.microsoft.com/office/drawing/2014/chart" uri="{C3380CC4-5D6E-409C-BE32-E72D297353CC}">
                <c16:uniqueId val="{00000035-01D3-4CCE-B2EC-949FC3F3ED45}"/>
              </c:ext>
            </c:extLst>
          </c:dPt>
          <c:dPt>
            <c:idx val="27"/>
            <c:marker>
              <c:symbol val="none"/>
            </c:marker>
            <c:bubble3D val="0"/>
            <c:spPr>
              <a:ln w="28575" cap="rnd">
                <a:solidFill>
                  <a:schemeClr val="accent4">
                    <a:lumMod val="60000"/>
                    <a:lumOff val="40000"/>
                  </a:schemeClr>
                </a:solidFill>
                <a:round/>
              </a:ln>
              <a:effectLst/>
            </c:spPr>
            <c:extLst>
              <c:ext xmlns:c16="http://schemas.microsoft.com/office/drawing/2014/chart" uri="{C3380CC4-5D6E-409C-BE32-E72D297353CC}">
                <c16:uniqueId val="{00000037-01D3-4CCE-B2EC-949FC3F3ED45}"/>
              </c:ext>
            </c:extLst>
          </c:dPt>
          <c:dPt>
            <c:idx val="28"/>
            <c:marker>
              <c:symbol val="none"/>
            </c:marker>
            <c:bubble3D val="0"/>
            <c:spPr>
              <a:ln w="28575" cap="rnd">
                <a:solidFill>
                  <a:schemeClr val="accent5">
                    <a:lumMod val="60000"/>
                    <a:lumOff val="40000"/>
                  </a:schemeClr>
                </a:solidFill>
                <a:round/>
              </a:ln>
              <a:effectLst/>
            </c:spPr>
            <c:extLst>
              <c:ext xmlns:c16="http://schemas.microsoft.com/office/drawing/2014/chart" uri="{C3380CC4-5D6E-409C-BE32-E72D297353CC}">
                <c16:uniqueId val="{00000039-01D3-4CCE-B2EC-949FC3F3ED45}"/>
              </c:ext>
            </c:extLst>
          </c:dPt>
          <c:dPt>
            <c:idx val="29"/>
            <c:marker>
              <c:symbol val="none"/>
            </c:marker>
            <c:bubble3D val="0"/>
            <c:spPr>
              <a:ln w="28575" cap="rnd">
                <a:solidFill>
                  <a:schemeClr val="accent6">
                    <a:lumMod val="60000"/>
                    <a:lumOff val="40000"/>
                  </a:schemeClr>
                </a:solidFill>
                <a:round/>
              </a:ln>
              <a:effectLst/>
            </c:spPr>
            <c:extLst>
              <c:ext xmlns:c16="http://schemas.microsoft.com/office/drawing/2014/chart" uri="{C3380CC4-5D6E-409C-BE32-E72D297353CC}">
                <c16:uniqueId val="{0000003B-01D3-4CCE-B2EC-949FC3F3ED45}"/>
              </c:ext>
            </c:extLst>
          </c:dPt>
          <c:dPt>
            <c:idx val="30"/>
            <c:marker>
              <c:symbol val="none"/>
            </c:marker>
            <c:bubble3D val="0"/>
            <c:spPr>
              <a:ln w="28575" cap="rnd">
                <a:solidFill>
                  <a:schemeClr val="accent1">
                    <a:lumMod val="50000"/>
                  </a:schemeClr>
                </a:solidFill>
                <a:round/>
              </a:ln>
              <a:effectLst/>
            </c:spPr>
            <c:extLst>
              <c:ext xmlns:c16="http://schemas.microsoft.com/office/drawing/2014/chart" uri="{C3380CC4-5D6E-409C-BE32-E72D297353CC}">
                <c16:uniqueId val="{0000003D-01D3-4CCE-B2EC-949FC3F3ED45}"/>
              </c:ext>
            </c:extLst>
          </c:dPt>
          <c:dPt>
            <c:idx val="31"/>
            <c:marker>
              <c:symbol val="none"/>
            </c:marker>
            <c:bubble3D val="0"/>
            <c:spPr>
              <a:ln w="28575" cap="rnd">
                <a:solidFill>
                  <a:schemeClr val="accent2">
                    <a:lumMod val="50000"/>
                  </a:schemeClr>
                </a:solidFill>
                <a:round/>
              </a:ln>
              <a:effectLst/>
            </c:spPr>
            <c:extLst>
              <c:ext xmlns:c16="http://schemas.microsoft.com/office/drawing/2014/chart" uri="{C3380CC4-5D6E-409C-BE32-E72D297353CC}">
                <c16:uniqueId val="{0000003F-01D3-4CCE-B2EC-949FC3F3ED45}"/>
              </c:ext>
            </c:extLst>
          </c:dPt>
          <c:dPt>
            <c:idx val="32"/>
            <c:marker>
              <c:symbol val="none"/>
            </c:marker>
            <c:bubble3D val="0"/>
            <c:spPr>
              <a:ln w="28575" cap="rnd">
                <a:solidFill>
                  <a:schemeClr val="accent3">
                    <a:lumMod val="50000"/>
                  </a:schemeClr>
                </a:solidFill>
                <a:round/>
              </a:ln>
              <a:effectLst/>
            </c:spPr>
            <c:extLst>
              <c:ext xmlns:c16="http://schemas.microsoft.com/office/drawing/2014/chart" uri="{C3380CC4-5D6E-409C-BE32-E72D297353CC}">
                <c16:uniqueId val="{00000041-01D3-4CCE-B2EC-949FC3F3ED45}"/>
              </c:ext>
            </c:extLst>
          </c:dPt>
          <c:dPt>
            <c:idx val="33"/>
            <c:marker>
              <c:symbol val="none"/>
            </c:marker>
            <c:bubble3D val="0"/>
            <c:spPr>
              <a:ln w="28575" cap="rnd">
                <a:solidFill>
                  <a:schemeClr val="accent4">
                    <a:lumMod val="50000"/>
                  </a:schemeClr>
                </a:solidFill>
                <a:round/>
              </a:ln>
              <a:effectLst/>
            </c:spPr>
            <c:extLst>
              <c:ext xmlns:c16="http://schemas.microsoft.com/office/drawing/2014/chart" uri="{C3380CC4-5D6E-409C-BE32-E72D297353CC}">
                <c16:uniqueId val="{00000043-01D3-4CCE-B2EC-949FC3F3ED45}"/>
              </c:ext>
            </c:extLst>
          </c:dPt>
          <c:dPt>
            <c:idx val="34"/>
            <c:marker>
              <c:symbol val="none"/>
            </c:marker>
            <c:bubble3D val="0"/>
            <c:spPr>
              <a:ln w="28575" cap="rnd">
                <a:solidFill>
                  <a:schemeClr val="accent5">
                    <a:lumMod val="50000"/>
                  </a:schemeClr>
                </a:solidFill>
                <a:round/>
              </a:ln>
              <a:effectLst/>
            </c:spPr>
            <c:extLst>
              <c:ext xmlns:c16="http://schemas.microsoft.com/office/drawing/2014/chart" uri="{C3380CC4-5D6E-409C-BE32-E72D297353CC}">
                <c16:uniqueId val="{00000045-01D3-4CCE-B2EC-949FC3F3ED45}"/>
              </c:ext>
            </c:extLst>
          </c:dPt>
          <c:dPt>
            <c:idx val="35"/>
            <c:marker>
              <c:symbol val="none"/>
            </c:marker>
            <c:bubble3D val="0"/>
            <c:spPr>
              <a:ln w="28575" cap="rnd">
                <a:solidFill>
                  <a:schemeClr val="accent6">
                    <a:lumMod val="50000"/>
                  </a:schemeClr>
                </a:solidFill>
                <a:round/>
              </a:ln>
              <a:effectLst/>
            </c:spPr>
            <c:extLst>
              <c:ext xmlns:c16="http://schemas.microsoft.com/office/drawing/2014/chart" uri="{C3380CC4-5D6E-409C-BE32-E72D297353CC}">
                <c16:uniqueId val="{00000047-01D3-4CCE-B2EC-949FC3F3ED45}"/>
              </c:ext>
            </c:extLst>
          </c:dPt>
          <c:dPt>
            <c:idx val="36"/>
            <c:marker>
              <c:symbol val="none"/>
            </c:marker>
            <c:bubble3D val="0"/>
            <c:spPr>
              <a:ln w="28575" cap="rnd">
                <a:solidFill>
                  <a:schemeClr val="accent1">
                    <a:lumMod val="70000"/>
                    <a:lumOff val="30000"/>
                  </a:schemeClr>
                </a:solidFill>
                <a:round/>
              </a:ln>
              <a:effectLst/>
            </c:spPr>
            <c:extLst>
              <c:ext xmlns:c16="http://schemas.microsoft.com/office/drawing/2014/chart" uri="{C3380CC4-5D6E-409C-BE32-E72D297353CC}">
                <c16:uniqueId val="{00000049-01D3-4CCE-B2EC-949FC3F3ED45}"/>
              </c:ext>
            </c:extLst>
          </c:dPt>
          <c:dPt>
            <c:idx val="37"/>
            <c:marker>
              <c:symbol val="none"/>
            </c:marker>
            <c:bubble3D val="0"/>
            <c:spPr>
              <a:ln w="28575" cap="rnd">
                <a:solidFill>
                  <a:schemeClr val="accent2">
                    <a:lumMod val="70000"/>
                    <a:lumOff val="30000"/>
                  </a:schemeClr>
                </a:solidFill>
                <a:round/>
              </a:ln>
              <a:effectLst/>
            </c:spPr>
            <c:extLst>
              <c:ext xmlns:c16="http://schemas.microsoft.com/office/drawing/2014/chart" uri="{C3380CC4-5D6E-409C-BE32-E72D297353CC}">
                <c16:uniqueId val="{0000004B-01D3-4CCE-B2EC-949FC3F3ED45}"/>
              </c:ext>
            </c:extLst>
          </c:dPt>
          <c:dPt>
            <c:idx val="38"/>
            <c:marker>
              <c:symbol val="none"/>
            </c:marker>
            <c:bubble3D val="0"/>
            <c:spPr>
              <a:ln w="28575" cap="rnd">
                <a:solidFill>
                  <a:schemeClr val="accent3">
                    <a:lumMod val="70000"/>
                    <a:lumOff val="30000"/>
                  </a:schemeClr>
                </a:solidFill>
                <a:round/>
              </a:ln>
              <a:effectLst/>
            </c:spPr>
            <c:extLst>
              <c:ext xmlns:c16="http://schemas.microsoft.com/office/drawing/2014/chart" uri="{C3380CC4-5D6E-409C-BE32-E72D297353CC}">
                <c16:uniqueId val="{0000004D-01D3-4CCE-B2EC-949FC3F3ED45}"/>
              </c:ext>
            </c:extLst>
          </c:dPt>
          <c:dPt>
            <c:idx val="39"/>
            <c:marker>
              <c:symbol val="none"/>
            </c:marker>
            <c:bubble3D val="0"/>
            <c:spPr>
              <a:ln w="28575" cap="rnd">
                <a:solidFill>
                  <a:schemeClr val="accent4">
                    <a:lumMod val="70000"/>
                    <a:lumOff val="30000"/>
                  </a:schemeClr>
                </a:solidFill>
                <a:round/>
              </a:ln>
              <a:effectLst/>
            </c:spPr>
            <c:extLst>
              <c:ext xmlns:c16="http://schemas.microsoft.com/office/drawing/2014/chart" uri="{C3380CC4-5D6E-409C-BE32-E72D297353CC}">
                <c16:uniqueId val="{0000004F-01D3-4CCE-B2EC-949FC3F3ED45}"/>
              </c:ext>
            </c:extLst>
          </c:dPt>
          <c:dPt>
            <c:idx val="40"/>
            <c:marker>
              <c:symbol val="none"/>
            </c:marker>
            <c:bubble3D val="0"/>
            <c:spPr>
              <a:ln w="28575" cap="rnd">
                <a:solidFill>
                  <a:schemeClr val="accent5">
                    <a:lumMod val="70000"/>
                    <a:lumOff val="30000"/>
                  </a:schemeClr>
                </a:solidFill>
                <a:round/>
              </a:ln>
              <a:effectLst/>
            </c:spPr>
            <c:extLst>
              <c:ext xmlns:c16="http://schemas.microsoft.com/office/drawing/2014/chart" uri="{C3380CC4-5D6E-409C-BE32-E72D297353CC}">
                <c16:uniqueId val="{00000051-01D3-4CCE-B2EC-949FC3F3ED45}"/>
              </c:ext>
            </c:extLst>
          </c:dPt>
          <c:dPt>
            <c:idx val="41"/>
            <c:marker>
              <c:symbol val="none"/>
            </c:marker>
            <c:bubble3D val="0"/>
            <c:spPr>
              <a:ln w="28575" cap="rnd">
                <a:solidFill>
                  <a:schemeClr val="accent6">
                    <a:lumMod val="70000"/>
                    <a:lumOff val="30000"/>
                  </a:schemeClr>
                </a:solidFill>
                <a:round/>
              </a:ln>
              <a:effectLst/>
            </c:spPr>
            <c:extLst>
              <c:ext xmlns:c16="http://schemas.microsoft.com/office/drawing/2014/chart" uri="{C3380CC4-5D6E-409C-BE32-E72D297353CC}">
                <c16:uniqueId val="{00000053-01D3-4CCE-B2EC-949FC3F3ED45}"/>
              </c:ext>
            </c:extLst>
          </c:dPt>
          <c:dPt>
            <c:idx val="42"/>
            <c:marker>
              <c:symbol val="none"/>
            </c:marker>
            <c:bubble3D val="0"/>
            <c:spPr>
              <a:ln w="28575" cap="rnd">
                <a:solidFill>
                  <a:schemeClr val="accent1">
                    <a:lumMod val="70000"/>
                  </a:schemeClr>
                </a:solidFill>
                <a:round/>
              </a:ln>
              <a:effectLst/>
            </c:spPr>
            <c:extLst>
              <c:ext xmlns:c16="http://schemas.microsoft.com/office/drawing/2014/chart" uri="{C3380CC4-5D6E-409C-BE32-E72D297353CC}">
                <c16:uniqueId val="{00000055-01D3-4CCE-B2EC-949FC3F3ED45}"/>
              </c:ext>
            </c:extLst>
          </c:dPt>
          <c:dPt>
            <c:idx val="43"/>
            <c:marker>
              <c:symbol val="none"/>
            </c:marker>
            <c:bubble3D val="0"/>
            <c:spPr>
              <a:ln w="28575" cap="rnd">
                <a:solidFill>
                  <a:schemeClr val="accent2">
                    <a:lumMod val="70000"/>
                  </a:schemeClr>
                </a:solidFill>
                <a:round/>
              </a:ln>
              <a:effectLst/>
            </c:spPr>
            <c:extLst>
              <c:ext xmlns:c16="http://schemas.microsoft.com/office/drawing/2014/chart" uri="{C3380CC4-5D6E-409C-BE32-E72D297353CC}">
                <c16:uniqueId val="{00000057-01D3-4CCE-B2EC-949FC3F3ED45}"/>
              </c:ext>
            </c:extLst>
          </c:dPt>
          <c:dPt>
            <c:idx val="44"/>
            <c:marker>
              <c:symbol val="none"/>
            </c:marker>
            <c:bubble3D val="0"/>
            <c:spPr>
              <a:ln w="28575" cap="rnd">
                <a:solidFill>
                  <a:schemeClr val="accent3">
                    <a:lumMod val="70000"/>
                  </a:schemeClr>
                </a:solidFill>
                <a:round/>
              </a:ln>
              <a:effectLst/>
            </c:spPr>
            <c:extLst>
              <c:ext xmlns:c16="http://schemas.microsoft.com/office/drawing/2014/chart" uri="{C3380CC4-5D6E-409C-BE32-E72D297353CC}">
                <c16:uniqueId val="{00000059-01D3-4CCE-B2EC-949FC3F3ED45}"/>
              </c:ext>
            </c:extLst>
          </c:dPt>
          <c:dPt>
            <c:idx val="45"/>
            <c:marker>
              <c:symbol val="none"/>
            </c:marker>
            <c:bubble3D val="0"/>
            <c:spPr>
              <a:ln w="28575" cap="rnd">
                <a:solidFill>
                  <a:schemeClr val="accent4">
                    <a:lumMod val="70000"/>
                  </a:schemeClr>
                </a:solidFill>
                <a:round/>
              </a:ln>
              <a:effectLst/>
            </c:spPr>
            <c:extLst>
              <c:ext xmlns:c16="http://schemas.microsoft.com/office/drawing/2014/chart" uri="{C3380CC4-5D6E-409C-BE32-E72D297353CC}">
                <c16:uniqueId val="{0000005B-01D3-4CCE-B2EC-949FC3F3ED45}"/>
              </c:ext>
            </c:extLst>
          </c:dPt>
          <c:dPt>
            <c:idx val="46"/>
            <c:marker>
              <c:symbol val="none"/>
            </c:marker>
            <c:bubble3D val="0"/>
            <c:spPr>
              <a:ln w="28575" cap="rnd">
                <a:solidFill>
                  <a:schemeClr val="accent5">
                    <a:lumMod val="70000"/>
                  </a:schemeClr>
                </a:solidFill>
                <a:round/>
              </a:ln>
              <a:effectLst/>
            </c:spPr>
            <c:extLst>
              <c:ext xmlns:c16="http://schemas.microsoft.com/office/drawing/2014/chart" uri="{C3380CC4-5D6E-409C-BE32-E72D297353CC}">
                <c16:uniqueId val="{0000005D-01D3-4CCE-B2EC-949FC3F3ED45}"/>
              </c:ext>
            </c:extLst>
          </c:dPt>
          <c:dPt>
            <c:idx val="47"/>
            <c:marker>
              <c:symbol val="none"/>
            </c:marker>
            <c:bubble3D val="0"/>
            <c:spPr>
              <a:ln w="28575" cap="rnd">
                <a:solidFill>
                  <a:schemeClr val="accent6">
                    <a:lumMod val="70000"/>
                  </a:schemeClr>
                </a:solidFill>
                <a:round/>
              </a:ln>
              <a:effectLst/>
            </c:spPr>
            <c:extLst>
              <c:ext xmlns:c16="http://schemas.microsoft.com/office/drawing/2014/chart" uri="{C3380CC4-5D6E-409C-BE32-E72D297353CC}">
                <c16:uniqueId val="{0000005F-01D3-4CCE-B2EC-949FC3F3ED45}"/>
              </c:ext>
            </c:extLst>
          </c:dPt>
          <c:dPt>
            <c:idx val="48"/>
            <c:marker>
              <c:symbol val="none"/>
            </c:marker>
            <c:bubble3D val="0"/>
            <c:spPr>
              <a:ln w="28575" cap="rnd">
                <a:solidFill>
                  <a:schemeClr val="accent1">
                    <a:lumMod val="50000"/>
                    <a:lumOff val="50000"/>
                  </a:schemeClr>
                </a:solidFill>
                <a:round/>
              </a:ln>
              <a:effectLst/>
            </c:spPr>
            <c:extLst>
              <c:ext xmlns:c16="http://schemas.microsoft.com/office/drawing/2014/chart" uri="{C3380CC4-5D6E-409C-BE32-E72D297353CC}">
                <c16:uniqueId val="{00000061-01D3-4CCE-B2EC-949FC3F3ED45}"/>
              </c:ext>
            </c:extLst>
          </c:dPt>
          <c:dPt>
            <c:idx val="49"/>
            <c:marker>
              <c:symbol val="none"/>
            </c:marker>
            <c:bubble3D val="0"/>
            <c:spPr>
              <a:ln w="28575" cap="rnd">
                <a:solidFill>
                  <a:schemeClr val="accent2">
                    <a:lumMod val="50000"/>
                    <a:lumOff val="50000"/>
                  </a:schemeClr>
                </a:solidFill>
                <a:round/>
              </a:ln>
              <a:effectLst/>
            </c:spPr>
            <c:extLst>
              <c:ext xmlns:c16="http://schemas.microsoft.com/office/drawing/2014/chart" uri="{C3380CC4-5D6E-409C-BE32-E72D297353CC}">
                <c16:uniqueId val="{00000063-01D3-4CCE-B2EC-949FC3F3ED45}"/>
              </c:ext>
            </c:extLst>
          </c:dPt>
          <c:dPt>
            <c:idx val="50"/>
            <c:marker>
              <c:symbol val="none"/>
            </c:marker>
            <c:bubble3D val="0"/>
            <c:spPr>
              <a:ln w="28575" cap="rnd">
                <a:solidFill>
                  <a:schemeClr val="accent3">
                    <a:lumMod val="50000"/>
                    <a:lumOff val="50000"/>
                  </a:schemeClr>
                </a:solidFill>
                <a:round/>
              </a:ln>
              <a:effectLst/>
            </c:spPr>
            <c:extLst>
              <c:ext xmlns:c16="http://schemas.microsoft.com/office/drawing/2014/chart" uri="{C3380CC4-5D6E-409C-BE32-E72D297353CC}">
                <c16:uniqueId val="{00000065-01D3-4CCE-B2EC-949FC3F3ED45}"/>
              </c:ext>
            </c:extLst>
          </c:dPt>
          <c:dPt>
            <c:idx val="51"/>
            <c:marker>
              <c:symbol val="none"/>
            </c:marker>
            <c:bubble3D val="0"/>
            <c:spPr>
              <a:ln w="28575" cap="rnd">
                <a:solidFill>
                  <a:schemeClr val="accent4">
                    <a:lumMod val="50000"/>
                    <a:lumOff val="50000"/>
                  </a:schemeClr>
                </a:solidFill>
                <a:round/>
              </a:ln>
              <a:effectLst/>
            </c:spPr>
            <c:extLst>
              <c:ext xmlns:c16="http://schemas.microsoft.com/office/drawing/2014/chart" uri="{C3380CC4-5D6E-409C-BE32-E72D297353CC}">
                <c16:uniqueId val="{00000067-01D3-4CCE-B2EC-949FC3F3ED45}"/>
              </c:ext>
            </c:extLst>
          </c:dPt>
          <c:dPt>
            <c:idx val="52"/>
            <c:marker>
              <c:symbol val="none"/>
            </c:marker>
            <c:bubble3D val="0"/>
            <c:spPr>
              <a:ln w="28575" cap="rnd">
                <a:solidFill>
                  <a:schemeClr val="accent5">
                    <a:lumMod val="50000"/>
                    <a:lumOff val="50000"/>
                  </a:schemeClr>
                </a:solidFill>
                <a:round/>
              </a:ln>
              <a:effectLst/>
            </c:spPr>
            <c:extLst>
              <c:ext xmlns:c16="http://schemas.microsoft.com/office/drawing/2014/chart" uri="{C3380CC4-5D6E-409C-BE32-E72D297353CC}">
                <c16:uniqueId val="{00000069-01D3-4CCE-B2EC-949FC3F3ED45}"/>
              </c:ext>
            </c:extLst>
          </c:dPt>
          <c:dPt>
            <c:idx val="53"/>
            <c:marker>
              <c:symbol val="none"/>
            </c:marker>
            <c:bubble3D val="0"/>
            <c:spPr>
              <a:ln w="28575" cap="rnd">
                <a:solidFill>
                  <a:schemeClr val="accent6">
                    <a:lumMod val="50000"/>
                    <a:lumOff val="50000"/>
                  </a:schemeClr>
                </a:solidFill>
                <a:round/>
              </a:ln>
              <a:effectLst/>
            </c:spPr>
            <c:extLst>
              <c:ext xmlns:c16="http://schemas.microsoft.com/office/drawing/2014/chart" uri="{C3380CC4-5D6E-409C-BE32-E72D297353CC}">
                <c16:uniqueId val="{0000006B-01D3-4CCE-B2EC-949FC3F3ED45}"/>
              </c:ext>
            </c:extLst>
          </c:dPt>
          <c:dPt>
            <c:idx val="54"/>
            <c:marker>
              <c:symbol val="none"/>
            </c:marker>
            <c:bubble3D val="0"/>
            <c:spPr>
              <a:ln w="28575" cap="rnd">
                <a:solidFill>
                  <a:schemeClr val="accent1"/>
                </a:solidFill>
                <a:round/>
              </a:ln>
              <a:effectLst/>
            </c:spPr>
            <c:extLst>
              <c:ext xmlns:c16="http://schemas.microsoft.com/office/drawing/2014/chart" uri="{C3380CC4-5D6E-409C-BE32-E72D297353CC}">
                <c16:uniqueId val="{0000006D-01D3-4CCE-B2EC-949FC3F3ED45}"/>
              </c:ext>
            </c:extLst>
          </c:dPt>
          <c:dPt>
            <c:idx val="55"/>
            <c:marker>
              <c:symbol val="none"/>
            </c:marker>
            <c:bubble3D val="0"/>
            <c:spPr>
              <a:ln w="28575" cap="rnd">
                <a:solidFill>
                  <a:schemeClr val="accent2"/>
                </a:solidFill>
                <a:round/>
              </a:ln>
              <a:effectLst/>
            </c:spPr>
            <c:extLst>
              <c:ext xmlns:c16="http://schemas.microsoft.com/office/drawing/2014/chart" uri="{C3380CC4-5D6E-409C-BE32-E72D297353CC}">
                <c16:uniqueId val="{0000006F-01D3-4CCE-B2EC-949FC3F3ED45}"/>
              </c:ext>
            </c:extLst>
          </c:dPt>
          <c:cat>
            <c:strRef>
              <c:f>Grafik!$Q$5:$Q$60</c:f>
              <c:strCache>
                <c:ptCount val="51"/>
                <c:pt idx="0">
                  <c:v>40</c:v>
                </c:pt>
                <c:pt idx="1">
                  <c:v>41</c:v>
                </c:pt>
                <c:pt idx="2">
                  <c:v>42</c:v>
                </c:pt>
                <c:pt idx="3">
                  <c:v>43</c:v>
                </c:pt>
                <c:pt idx="4">
                  <c:v>44</c:v>
                </c:pt>
                <c:pt idx="5">
                  <c:v>45</c:v>
                </c:pt>
                <c:pt idx="6">
                  <c:v>46</c:v>
                </c:pt>
                <c:pt idx="7">
                  <c:v>47</c:v>
                </c:pt>
                <c:pt idx="8">
                  <c:v>48</c:v>
                </c:pt>
                <c:pt idx="9">
                  <c:v>49</c:v>
                </c:pt>
                <c:pt idx="10">
                  <c:v>50</c:v>
                </c:pt>
                <c:pt idx="11">
                  <c:v>51</c:v>
                </c:pt>
                <c:pt idx="12">
                  <c:v>52</c:v>
                </c:pt>
                <c:pt idx="13">
                  <c:v>53</c:v>
                </c:pt>
                <c:pt idx="14">
                  <c:v>54</c:v>
                </c:pt>
                <c:pt idx="15">
                  <c:v>55</c:v>
                </c:pt>
                <c:pt idx="16">
                  <c:v>56</c:v>
                </c:pt>
                <c:pt idx="17">
                  <c:v>57</c:v>
                </c:pt>
                <c:pt idx="18">
                  <c:v>58</c:v>
                </c:pt>
                <c:pt idx="19">
                  <c:v>59</c:v>
                </c:pt>
                <c:pt idx="20">
                  <c:v>60</c:v>
                </c:pt>
                <c:pt idx="21">
                  <c:v>61</c:v>
                </c:pt>
                <c:pt idx="22">
                  <c:v>62</c:v>
                </c:pt>
                <c:pt idx="23">
                  <c:v>63</c:v>
                </c:pt>
                <c:pt idx="24">
                  <c:v>64</c:v>
                </c:pt>
                <c:pt idx="25">
                  <c:v>65</c:v>
                </c:pt>
                <c:pt idx="26">
                  <c:v>66</c:v>
                </c:pt>
                <c:pt idx="27">
                  <c:v>67</c:v>
                </c:pt>
                <c:pt idx="28">
                  <c:v>68</c:v>
                </c:pt>
                <c:pt idx="29">
                  <c:v>69</c:v>
                </c:pt>
                <c:pt idx="30">
                  <c:v>70</c:v>
                </c:pt>
                <c:pt idx="31">
                  <c:v>71</c:v>
                </c:pt>
                <c:pt idx="32">
                  <c:v>72</c:v>
                </c:pt>
                <c:pt idx="33">
                  <c:v>73</c:v>
                </c:pt>
                <c:pt idx="34">
                  <c:v>74</c:v>
                </c:pt>
                <c:pt idx="35">
                  <c:v>75</c:v>
                </c:pt>
                <c:pt idx="36">
                  <c:v>76</c:v>
                </c:pt>
                <c:pt idx="37">
                  <c:v>77</c:v>
                </c:pt>
                <c:pt idx="38">
                  <c:v>78</c:v>
                </c:pt>
                <c:pt idx="39">
                  <c:v>79</c:v>
                </c:pt>
                <c:pt idx="40">
                  <c:v>80</c:v>
                </c:pt>
                <c:pt idx="41">
                  <c:v>81</c:v>
                </c:pt>
                <c:pt idx="42">
                  <c:v>82</c:v>
                </c:pt>
                <c:pt idx="43">
                  <c:v>83</c:v>
                </c:pt>
                <c:pt idx="44">
                  <c:v>84</c:v>
                </c:pt>
                <c:pt idx="45">
                  <c:v>85</c:v>
                </c:pt>
                <c:pt idx="46">
                  <c:v>86</c:v>
                </c:pt>
                <c:pt idx="47">
                  <c:v>87</c:v>
                </c:pt>
                <c:pt idx="48">
                  <c:v>88</c:v>
                </c:pt>
                <c:pt idx="49">
                  <c:v>89</c:v>
                </c:pt>
                <c:pt idx="50">
                  <c:v>90</c:v>
                </c:pt>
              </c:strCache>
            </c:strRef>
          </c:cat>
          <c:val>
            <c:numRef>
              <c:f>Grafik!$R$5:$R$60</c:f>
              <c:numCache>
                <c:formatCode>#,##0</c:formatCode>
                <c:ptCount val="56"/>
                <c:pt idx="0">
                  <c:v>3402.3557802030946</c:v>
                </c:pt>
                <c:pt idx="1">
                  <c:v>7034.3705755699038</c:v>
                </c:pt>
                <c:pt idx="2">
                  <c:v>10911.546369623979</c:v>
                </c:pt>
                <c:pt idx="3">
                  <c:v>15050.431529776708</c:v>
                </c:pt>
                <c:pt idx="4">
                  <c:v>19468.691438239752</c:v>
                </c:pt>
                <c:pt idx="5">
                  <c:v>24185.183890524055</c:v>
                </c:pt>
                <c:pt idx="6">
                  <c:v>29220.039583337555</c:v>
                </c:pt>
                <c:pt idx="7">
                  <c:v>34594.748035415978</c:v>
                </c:pt>
                <c:pt idx="8">
                  <c:v>40332.249308009705</c:v>
                </c:pt>
                <c:pt idx="9">
                  <c:v>46457.031916503518</c:v>
                </c:pt>
                <c:pt idx="10">
                  <c:v>52995.237351070668</c:v>
                </c:pt>
                <c:pt idx="11">
                  <c:v>59974.771652471114</c:v>
                </c:pt>
                <c:pt idx="12">
                  <c:v>67425.424519216089</c:v>
                </c:pt>
                <c:pt idx="13">
                  <c:v>75378.996454466367</c:v>
                </c:pt>
                <c:pt idx="14">
                  <c:v>83869.434495346039</c:v>
                </c:pt>
                <c:pt idx="15">
                  <c:v>92932.977103985104</c:v>
                </c:pt>
                <c:pt idx="16">
                  <c:v>102288.05883870732</c:v>
                </c:pt>
                <c:pt idx="17">
                  <c:v>112274.6085905233</c:v>
                </c:pt>
                <c:pt idx="18">
                  <c:v>122615.00045058689</c:v>
                </c:pt>
                <c:pt idx="19">
                  <c:v>133653.36876120477</c:v>
                </c:pt>
                <c:pt idx="20">
                  <c:v>145116.57693278938</c:v>
                </c:pt>
                <c:pt idx="21">
                  <c:v>157353.55165595596</c:v>
                </c:pt>
                <c:pt idx="22">
                  <c:v>170416.5221729363</c:v>
                </c:pt>
                <c:pt idx="23">
                  <c:v>184361.24319981283</c:v>
                </c:pt>
                <c:pt idx="24">
                  <c:v>199247.23289600355</c:v>
                </c:pt>
                <c:pt idx="25">
                  <c:v>215138.02689668717</c:v>
                </c:pt>
                <c:pt idx="26">
                  <c:v>232101.44949241696</c:v>
                </c:pt>
                <c:pt idx="27">
                  <c:v>250209.90311335854</c:v>
                </c:pt>
                <c:pt idx="28">
                  <c:v>269540.67735371372</c:v>
                </c:pt>
                <c:pt idx="29">
                  <c:v>290176.27885529288</c:v>
                </c:pt>
                <c:pt idx="30">
                  <c:v>290176.27885529288</c:v>
                </c:pt>
                <c:pt idx="31">
                  <c:v>282902.51841029868</c:v>
                </c:pt>
                <c:pt idx="32">
                  <c:v>275137.77913526731</c:v>
                </c:pt>
                <c:pt idx="33">
                  <c:v>266848.91995917133</c:v>
                </c:pt>
                <c:pt idx="34">
                  <c:v>258000.56278868887</c:v>
                </c:pt>
                <c:pt idx="35">
                  <c:v>248554.94150919886</c:v>
                </c:pt>
                <c:pt idx="36">
                  <c:v>238471.74079334326</c:v>
                </c:pt>
                <c:pt idx="37">
                  <c:v>227707.92402916742</c:v>
                </c:pt>
                <c:pt idx="38">
                  <c:v>216217.54963340971</c:v>
                </c:pt>
                <c:pt idx="39">
                  <c:v>203951.57496593834</c:v>
                </c:pt>
                <c:pt idx="40">
                  <c:v>190857.64700841266</c:v>
                </c:pt>
                <c:pt idx="41">
                  <c:v>176879.87891375402</c:v>
                </c:pt>
                <c:pt idx="42">
                  <c:v>161958.6114727059</c:v>
                </c:pt>
                <c:pt idx="43">
                  <c:v>146030.15847938706</c:v>
                </c:pt>
                <c:pt idx="44">
                  <c:v>129026.53490901917</c:v>
                </c:pt>
                <c:pt idx="45">
                  <c:v>110875.16674765147</c:v>
                </c:pt>
                <c:pt idx="46">
                  <c:v>91498.581235391437</c:v>
                </c:pt>
                <c:pt idx="47">
                  <c:v>70814.07620105386</c:v>
                </c:pt>
                <c:pt idx="48">
                  <c:v>48733.367076898496</c:v>
                </c:pt>
                <c:pt idx="49">
                  <c:v>25162.210086862648</c:v>
                </c:pt>
                <c:pt idx="50">
                  <c:v>0</c:v>
                </c:pt>
                <c:pt idx="51">
                  <c:v>0</c:v>
                </c:pt>
                <c:pt idx="52">
                  <c:v>0</c:v>
                </c:pt>
                <c:pt idx="53">
                  <c:v>0</c:v>
                </c:pt>
                <c:pt idx="54">
                  <c:v>0</c:v>
                </c:pt>
                <c:pt idx="55">
                  <c:v>0</c:v>
                </c:pt>
              </c:numCache>
            </c:numRef>
          </c:val>
          <c:smooth val="0"/>
          <c:extLst>
            <c:ext xmlns:c16="http://schemas.microsoft.com/office/drawing/2014/chart" uri="{C3380CC4-5D6E-409C-BE32-E72D297353CC}">
              <c16:uniqueId val="{00000000-9B30-4BBE-B09E-630EA3D206D7}"/>
            </c:ext>
          </c:extLst>
        </c:ser>
        <c:dLbls>
          <c:showLegendKey val="0"/>
          <c:showVal val="0"/>
          <c:showCatName val="0"/>
          <c:showSerName val="0"/>
          <c:showPercent val="0"/>
          <c:showBubbleSize val="0"/>
        </c:dLbls>
        <c:smooth val="0"/>
        <c:axId val="10"/>
        <c:axId val="100"/>
      </c:lineChart>
      <c:catAx>
        <c:axId val="1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Alter</a:t>
                </a:r>
              </a:p>
            </c:rich>
          </c:tx>
          <c:overlay val="1"/>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27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00"/>
        <c:crosses val="autoZero"/>
        <c:auto val="0"/>
        <c:lblAlgn val="ctr"/>
        <c:lblOffset val="100"/>
        <c:tickLblSkip val="5"/>
        <c:tickMarkSkip val="5"/>
        <c:noMultiLvlLbl val="1"/>
      </c:catAx>
      <c:valAx>
        <c:axId val="100"/>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0"/>
        <c:crosses val="autoZero"/>
        <c:crossBetween val="between"/>
      </c:valAx>
      <c:spPr>
        <a:noFill/>
        <a:ln>
          <a:noFill/>
        </a:ln>
        <a:effectLst/>
      </c:spPr>
    </c:plotArea>
    <c:plotVisOnly val="1"/>
    <c:dispBlanksAs val="gap"/>
    <c:showDLblsOverMax val="1"/>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521970</xdr:colOff>
      <xdr:row>25</xdr:row>
      <xdr:rowOff>85725</xdr:rowOff>
    </xdr:from>
    <xdr:to>
      <xdr:col>12</xdr:col>
      <xdr:colOff>342900</xdr:colOff>
      <xdr:row>43</xdr:row>
      <xdr:rowOff>131189</xdr:rowOff>
    </xdr:to>
    <xdr:graphicFrame macro="">
      <xdr:nvGraphicFramePr>
        <xdr:cNvPr id="2" name="Chart 2">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447674</xdr:colOff>
      <xdr:row>3</xdr:row>
      <xdr:rowOff>114300</xdr:rowOff>
    </xdr:from>
    <xdr:ext cx="7472325" cy="3485700"/>
    <xdr:graphicFrame macro="">
      <xdr:nvGraphicFramePr>
        <xdr:cNvPr id="3" name="Chart 1">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7"/>
  <sheetViews>
    <sheetView showGridLines="0" tabSelected="1" zoomScaleNormal="100" workbookViewId="0">
      <selection activeCell="A17" sqref="A17"/>
    </sheetView>
  </sheetViews>
  <sheetFormatPr baseColWidth="10" defaultColWidth="8.6640625" defaultRowHeight="14.4" x14ac:dyDescent="0.3"/>
  <cols>
    <col min="1" max="1" width="98" customWidth="1"/>
  </cols>
  <sheetData>
    <row r="1" spans="1:1" ht="17.25" customHeight="1" x14ac:dyDescent="0.3">
      <c r="A1" s="1" t="s">
        <v>5</v>
      </c>
    </row>
    <row r="2" spans="1:1" ht="14.25" customHeight="1" x14ac:dyDescent="0.3">
      <c r="A2" s="2" t="s">
        <v>6</v>
      </c>
    </row>
    <row r="4" spans="1:1" ht="15.75" customHeight="1" x14ac:dyDescent="0.3">
      <c r="A4" s="3" t="s">
        <v>7</v>
      </c>
    </row>
    <row r="5" spans="1:1" ht="15.75" customHeight="1" x14ac:dyDescent="0.3">
      <c r="A5" s="4" t="s">
        <v>8</v>
      </c>
    </row>
    <row r="7" spans="1:1" ht="30" customHeight="1" x14ac:dyDescent="0.3">
      <c r="A7" s="3" t="s">
        <v>9</v>
      </c>
    </row>
    <row r="8" spans="1:1" ht="30" customHeight="1" x14ac:dyDescent="0.3">
      <c r="A8" s="4" t="s">
        <v>10</v>
      </c>
    </row>
    <row r="10" spans="1:1" ht="118.8" x14ac:dyDescent="0.3">
      <c r="A10" s="3" t="s">
        <v>11</v>
      </c>
    </row>
    <row r="11" spans="1:1" ht="66" x14ac:dyDescent="0.3">
      <c r="A11" s="4" t="s">
        <v>12</v>
      </c>
    </row>
    <row r="12" spans="1:1" ht="39.6" x14ac:dyDescent="0.3">
      <c r="A12" s="3" t="s">
        <v>13</v>
      </c>
    </row>
    <row r="13" spans="1:1" ht="30" customHeight="1" x14ac:dyDescent="0.3">
      <c r="A13" s="4" t="s">
        <v>14</v>
      </c>
    </row>
    <row r="14" spans="1:1" ht="26.4" x14ac:dyDescent="0.3">
      <c r="A14" s="3" t="s">
        <v>15</v>
      </c>
    </row>
    <row r="15" spans="1:1" ht="30" customHeight="1" x14ac:dyDescent="0.3">
      <c r="A15" s="4" t="s">
        <v>16</v>
      </c>
    </row>
    <row r="16" spans="1:1" ht="79.2" x14ac:dyDescent="0.3">
      <c r="A16" s="3" t="s">
        <v>17</v>
      </c>
    </row>
    <row r="17" spans="1:1" ht="66" x14ac:dyDescent="0.3">
      <c r="A17" s="4" t="s">
        <v>18</v>
      </c>
    </row>
  </sheetData>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1"/>
  <sheetViews>
    <sheetView showGridLines="0" topLeftCell="A12" zoomScaleNormal="100" workbookViewId="0">
      <selection activeCell="B39" sqref="B39"/>
    </sheetView>
  </sheetViews>
  <sheetFormatPr baseColWidth="10" defaultColWidth="8.6640625" defaultRowHeight="14.4" x14ac:dyDescent="0.3"/>
  <cols>
    <col min="1" max="1" width="46" customWidth="1"/>
    <col min="2" max="2" width="16" customWidth="1"/>
    <col min="3" max="3" width="55" customWidth="1"/>
  </cols>
  <sheetData>
    <row r="1" spans="1:3" ht="17.25" customHeight="1" x14ac:dyDescent="0.3">
      <c r="A1" s="25" t="s">
        <v>19</v>
      </c>
      <c r="B1" s="24"/>
      <c r="C1" s="24"/>
    </row>
    <row r="3" spans="1:3" ht="14.25" customHeight="1" x14ac:dyDescent="0.3">
      <c r="A3" s="5" t="s">
        <v>20</v>
      </c>
      <c r="B3" s="6">
        <v>2027</v>
      </c>
      <c r="C3" s="7" t="s">
        <v>21</v>
      </c>
    </row>
    <row r="4" spans="1:3" ht="14.25" customHeight="1" x14ac:dyDescent="0.3">
      <c r="A4" s="5" t="s">
        <v>22</v>
      </c>
      <c r="B4" s="6">
        <v>40</v>
      </c>
      <c r="C4" s="7" t="s">
        <v>23</v>
      </c>
    </row>
    <row r="5" spans="1:3" ht="14.25" customHeight="1" x14ac:dyDescent="0.3">
      <c r="A5" s="5" t="s">
        <v>24</v>
      </c>
      <c r="B5" s="6">
        <v>70</v>
      </c>
      <c r="C5" s="7" t="s">
        <v>25</v>
      </c>
    </row>
    <row r="6" spans="1:3" ht="14.25" customHeight="1" x14ac:dyDescent="0.3">
      <c r="A6" s="5" t="s">
        <v>26</v>
      </c>
      <c r="B6" s="8">
        <v>0</v>
      </c>
      <c r="C6" s="7" t="s">
        <v>27</v>
      </c>
    </row>
    <row r="7" spans="1:3" ht="24" customHeight="1" x14ac:dyDescent="0.3">
      <c r="A7" s="5" t="s">
        <v>28</v>
      </c>
      <c r="B7" s="8">
        <v>150</v>
      </c>
      <c r="C7" s="7" t="s">
        <v>29</v>
      </c>
    </row>
    <row r="9" spans="1:3" ht="14.25" customHeight="1" x14ac:dyDescent="0.3">
      <c r="A9" s="5" t="s">
        <v>30</v>
      </c>
    </row>
    <row r="10" spans="1:3" ht="14.25" customHeight="1" x14ac:dyDescent="0.3">
      <c r="A10" s="5" t="s">
        <v>31</v>
      </c>
      <c r="B10" s="8">
        <v>120</v>
      </c>
      <c r="C10" s="7" t="s">
        <v>32</v>
      </c>
    </row>
    <row r="11" spans="1:3" ht="14.25" customHeight="1" x14ac:dyDescent="0.3">
      <c r="A11" s="5" t="s">
        <v>33</v>
      </c>
      <c r="B11" s="8">
        <v>360</v>
      </c>
      <c r="C11" s="7" t="s">
        <v>34</v>
      </c>
    </row>
    <row r="12" spans="1:3" ht="24" customHeight="1" x14ac:dyDescent="0.3">
      <c r="A12" s="5" t="s">
        <v>35</v>
      </c>
      <c r="B12" s="8">
        <v>1800</v>
      </c>
      <c r="C12" s="7" t="s">
        <v>36</v>
      </c>
    </row>
    <row r="13" spans="1:3" ht="24" customHeight="1" x14ac:dyDescent="0.3">
      <c r="A13" s="5" t="s">
        <v>37</v>
      </c>
      <c r="B13" s="8">
        <v>300</v>
      </c>
      <c r="C13" s="7" t="s">
        <v>38</v>
      </c>
    </row>
    <row r="14" spans="1:3" ht="14.25" customHeight="1" x14ac:dyDescent="0.3">
      <c r="A14" s="5" t="s">
        <v>39</v>
      </c>
      <c r="B14" s="8">
        <v>200</v>
      </c>
      <c r="C14" s="7" t="s">
        <v>40</v>
      </c>
    </row>
    <row r="16" spans="1:3" ht="14.25" customHeight="1" x14ac:dyDescent="0.3">
      <c r="A16" s="5" t="s">
        <v>41</v>
      </c>
    </row>
    <row r="17" spans="1:3" ht="14.25" customHeight="1" x14ac:dyDescent="0.3">
      <c r="A17" s="5" t="s">
        <v>42</v>
      </c>
      <c r="B17" s="6">
        <v>2018</v>
      </c>
      <c r="C17" s="9" t="s">
        <v>43</v>
      </c>
    </row>
    <row r="18" spans="1:3" ht="14.25" customHeight="1" x14ac:dyDescent="0.3">
      <c r="A18" s="5" t="s">
        <v>44</v>
      </c>
      <c r="B18" s="6">
        <v>2020</v>
      </c>
      <c r="C18" s="9" t="s">
        <v>43</v>
      </c>
    </row>
    <row r="19" spans="1:3" ht="14.25" customHeight="1" x14ac:dyDescent="0.3">
      <c r="A19" s="5" t="s">
        <v>45</v>
      </c>
      <c r="B19" s="6">
        <v>2022</v>
      </c>
      <c r="C19" s="9" t="s">
        <v>43</v>
      </c>
    </row>
    <row r="20" spans="1:3" ht="14.25" customHeight="1" x14ac:dyDescent="0.3">
      <c r="A20" s="5" t="s">
        <v>46</v>
      </c>
      <c r="B20" s="6"/>
      <c r="C20" s="9" t="s">
        <v>43</v>
      </c>
    </row>
    <row r="21" spans="1:3" ht="14.25" customHeight="1" x14ac:dyDescent="0.3">
      <c r="A21" s="5" t="s">
        <v>47</v>
      </c>
      <c r="B21" s="6"/>
      <c r="C21" s="9" t="s">
        <v>43</v>
      </c>
    </row>
    <row r="22" spans="1:3" ht="14.25" customHeight="1" x14ac:dyDescent="0.3">
      <c r="A22" s="5" t="s">
        <v>48</v>
      </c>
      <c r="B22" s="6"/>
      <c r="C22" s="9" t="s">
        <v>43</v>
      </c>
    </row>
    <row r="24" spans="1:3" ht="14.25" customHeight="1" x14ac:dyDescent="0.3">
      <c r="A24" s="5" t="s">
        <v>49</v>
      </c>
      <c r="B24" s="10">
        <f>B7*12</f>
        <v>1800</v>
      </c>
      <c r="C24" s="7" t="s">
        <v>50</v>
      </c>
    </row>
    <row r="25" spans="1:3" ht="24" customHeight="1" x14ac:dyDescent="0.3">
      <c r="A25" s="5" t="s">
        <v>51</v>
      </c>
      <c r="B25" s="10">
        <f>IF(B24&lt;B10,0,MIN(B24,B11)*0.5+MAX(MIN(B24,B12)-B11,0)*0.25)</f>
        <v>540</v>
      </c>
      <c r="C25" s="7" t="s">
        <v>52</v>
      </c>
    </row>
    <row r="26" spans="1:3" ht="14.25" customHeight="1" x14ac:dyDescent="0.3">
      <c r="A26" s="5" t="s">
        <v>53</v>
      </c>
      <c r="B26" s="10">
        <f>IF(B4&lt;25,B14,0)</f>
        <v>0</v>
      </c>
      <c r="C26" s="7" t="s">
        <v>54</v>
      </c>
    </row>
    <row r="27" spans="1:3" ht="27.75" customHeight="1" x14ac:dyDescent="0.3">
      <c r="A27" s="26" t="s">
        <v>55</v>
      </c>
      <c r="B27" s="24"/>
      <c r="C27" s="24"/>
    </row>
    <row r="29" spans="1:3" ht="14.25" customHeight="1" x14ac:dyDescent="0.3">
      <c r="A29" s="5" t="s">
        <v>56</v>
      </c>
      <c r="B29" s="11">
        <v>7.0000000000000007E-2</v>
      </c>
      <c r="C29" s="7" t="s">
        <v>57</v>
      </c>
    </row>
    <row r="30" spans="1:3" ht="14.25" customHeight="1" x14ac:dyDescent="0.3">
      <c r="A30" s="5" t="s">
        <v>58</v>
      </c>
      <c r="B30" s="12">
        <v>2.5000000000000001E-3</v>
      </c>
      <c r="C30" s="7" t="s">
        <v>59</v>
      </c>
    </row>
    <row r="31" spans="1:3" ht="14.25" customHeight="1" x14ac:dyDescent="0.3">
      <c r="A31" s="5" t="s">
        <v>60</v>
      </c>
      <c r="B31" s="13">
        <f>MAX(B29-B30,0)</f>
        <v>6.7500000000000004E-2</v>
      </c>
      <c r="C31" s="7" t="s">
        <v>61</v>
      </c>
    </row>
    <row r="32" spans="1:3" ht="14.25" customHeight="1" x14ac:dyDescent="0.3">
      <c r="A32" s="5" t="s">
        <v>62</v>
      </c>
      <c r="B32" s="11">
        <v>0.02</v>
      </c>
      <c r="C32" s="7" t="s">
        <v>63</v>
      </c>
    </row>
    <row r="34" spans="1:3" ht="14.25" customHeight="1" x14ac:dyDescent="0.3">
      <c r="A34" s="5" t="s">
        <v>64</v>
      </c>
    </row>
    <row r="35" spans="1:3" ht="24" customHeight="1" x14ac:dyDescent="0.3">
      <c r="A35" s="5" t="s">
        <v>65</v>
      </c>
      <c r="B35" s="11">
        <v>0.4</v>
      </c>
      <c r="C35" s="7" t="s">
        <v>66</v>
      </c>
    </row>
    <row r="36" spans="1:3" ht="24" customHeight="1" x14ac:dyDescent="0.3">
      <c r="A36" s="5" t="s">
        <v>67</v>
      </c>
      <c r="B36" s="11">
        <v>0.1</v>
      </c>
      <c r="C36" s="7" t="s">
        <v>68</v>
      </c>
    </row>
    <row r="37" spans="1:3" ht="24" customHeight="1" x14ac:dyDescent="0.3">
      <c r="A37" s="5" t="s">
        <v>69</v>
      </c>
      <c r="B37" s="14">
        <f>MAX(B35-B36,0)</f>
        <v>0.30000000000000004</v>
      </c>
      <c r="C37" s="7" t="s">
        <v>70</v>
      </c>
    </row>
    <row r="38" spans="1:3" ht="24" customHeight="1" x14ac:dyDescent="0.3">
      <c r="A38" s="5" t="s">
        <v>71</v>
      </c>
      <c r="B38" s="6">
        <v>90</v>
      </c>
      <c r="C38" s="7" t="s">
        <v>72</v>
      </c>
    </row>
    <row r="40" spans="1:3" ht="14.25" customHeight="1" x14ac:dyDescent="0.3">
      <c r="A40" s="9" t="s">
        <v>73</v>
      </c>
    </row>
    <row r="41" spans="1:3" ht="14.25" customHeight="1" x14ac:dyDescent="0.3">
      <c r="A41" s="9" t="s">
        <v>74</v>
      </c>
      <c r="B41" s="15">
        <f>(1+B31)^(1/12)-1</f>
        <v>5.4581304569467637E-3</v>
      </c>
    </row>
  </sheetData>
  <mergeCells count="2">
    <mergeCell ref="A1:C1"/>
    <mergeCell ref="A27:C27"/>
  </mergeCells>
  <dataValidations count="4">
    <dataValidation type="list" sqref="B5" xr:uid="{00000000-0002-0000-0100-000000000000}">
      <formula1>"67,68,69,70"</formula1>
      <formula2>0</formula2>
    </dataValidation>
    <dataValidation type="decimal" showErrorMessage="1" errorTitle="Ungültiger Wert" error="Bitte einen Wert zwischen 5% und 10% eingeben." sqref="B29" xr:uid="{00000000-0002-0000-0100-000001000000}">
      <formula1>0.05</formula1>
      <formula2>0.1</formula2>
    </dataValidation>
    <dataValidation type="decimal" showErrorMessage="1" errorTitle="Ungültiger Wert" error="Bitte einen Wert zwischen 2% und 5% eingeben." sqref="B32" xr:uid="{00000000-0002-0000-0100-000002000000}">
      <formula1>0.02</formula1>
      <formula2>0.05</formula2>
    </dataValidation>
    <dataValidation type="whole" operator="greaterThanOrEqual" showErrorMessage="1" errorTitle="Ungültiger Wert" error="Der Auszahlplan muss mindestens bis Alter 85 laufen." sqref="B38" xr:uid="{00000000-0002-0000-0100-000003000000}">
      <formula1>85</formula1>
      <formula2>0</formula2>
    </dataValidation>
  </dataValidations>
  <pageMargins left="0.75" right="0.75" top="1" bottom="1" header="0.511811023622047" footer="0.511811023622047"/>
  <pageSetup paperSize="9" orientation="portrait" horizontalDpi="300" verticalDpi="300"/>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62"/>
  <sheetViews>
    <sheetView showGridLines="0" zoomScaleNormal="100" workbookViewId="0">
      <pane ySplit="3" topLeftCell="A13" activePane="bottomLeft" state="frozen"/>
      <selection pane="bottomLeft" activeCell="A3" sqref="A3"/>
    </sheetView>
  </sheetViews>
  <sheetFormatPr baseColWidth="10" defaultColWidth="8.6640625" defaultRowHeight="14.4" x14ac:dyDescent="0.3"/>
  <cols>
    <col min="1" max="1" width="8" customWidth="1"/>
    <col min="2" max="2" width="7" customWidth="1"/>
    <col min="3" max="3" width="15" customWidth="1"/>
    <col min="4" max="4" width="14" customWidth="1"/>
    <col min="5" max="5" width="12" customWidth="1"/>
    <col min="6" max="6" width="13" customWidth="1"/>
    <col min="7" max="7" width="14" customWidth="1"/>
    <col min="8" max="8" width="16" customWidth="1"/>
    <col min="9" max="9" width="14" customWidth="1"/>
    <col min="10" max="10" width="15" customWidth="1"/>
    <col min="11" max="11" width="18" customWidth="1"/>
    <col min="12" max="12" width="15" customWidth="1"/>
  </cols>
  <sheetData>
    <row r="1" spans="1:12" ht="17.25" customHeight="1" x14ac:dyDescent="0.3">
      <c r="A1" s="25" t="s">
        <v>75</v>
      </c>
      <c r="B1" s="24"/>
      <c r="C1" s="24"/>
      <c r="D1" s="24"/>
      <c r="E1" s="24"/>
      <c r="F1" s="24"/>
      <c r="G1" s="24"/>
      <c r="H1" s="24"/>
      <c r="I1" s="24"/>
      <c r="J1" s="24"/>
      <c r="K1" s="24"/>
      <c r="L1" s="24"/>
    </row>
    <row r="3" spans="1:12" ht="45.75" customHeight="1" x14ac:dyDescent="0.3">
      <c r="A3" s="16" t="s">
        <v>76</v>
      </c>
      <c r="B3" s="16" t="s">
        <v>3</v>
      </c>
      <c r="C3" s="16" t="s">
        <v>77</v>
      </c>
      <c r="D3" s="16" t="s">
        <v>78</v>
      </c>
      <c r="E3" s="16" t="s">
        <v>79</v>
      </c>
      <c r="F3" s="16" t="s">
        <v>80</v>
      </c>
      <c r="G3" s="16" t="s">
        <v>81</v>
      </c>
      <c r="H3" s="16" t="s">
        <v>82</v>
      </c>
      <c r="I3" s="16" t="s">
        <v>83</v>
      </c>
      <c r="J3" s="16" t="s">
        <v>84</v>
      </c>
      <c r="K3" s="16" t="s">
        <v>85</v>
      </c>
      <c r="L3" s="16" t="s">
        <v>86</v>
      </c>
    </row>
    <row r="4" spans="1:12" ht="14.25" customHeight="1" x14ac:dyDescent="0.3">
      <c r="A4" s="17">
        <f>Annahmen!$B$3+0</f>
        <v>2027</v>
      </c>
      <c r="B4" s="17">
        <f>Annahmen!$B$4+0</f>
        <v>40</v>
      </c>
      <c r="C4" s="10">
        <f>Annahmen!$B$6</f>
        <v>0</v>
      </c>
      <c r="D4" s="10">
        <f>IF(B4&lt;=Annahmen!$B$5,IF(B4&lt;Annahmen!$B$5,Annahmen!$B$7*12,0),"")</f>
        <v>1800</v>
      </c>
      <c r="E4" s="17">
        <f>IF(D4="","",SUMPRODUCT((Annahmen!$B$17:$B$22&lt;&gt;"")*((A4-Annahmen!$B$17:$B$22)&gt;=0)*((A4-Annahmen!$B$17:$B$22)&lt;25)))</f>
        <v>3</v>
      </c>
      <c r="F4" s="10">
        <f>IF(D4="","",Annahmen!$B$25+E4*MIN(Annahmen!$B$24,Annahmen!$B$13)+Annahmen!$B$26)</f>
        <v>1440</v>
      </c>
      <c r="G4" s="10">
        <f t="shared" ref="G4:G35" si="0">IF(D4="","",D4+F4)</f>
        <v>3240</v>
      </c>
      <c r="H4" s="10">
        <f>IF(D4="","",D4+Annahmen!$B$6)</f>
        <v>1800</v>
      </c>
      <c r="I4" s="10">
        <f>IF(F4="","",F4)</f>
        <v>1440</v>
      </c>
      <c r="J4" s="10">
        <f>IF(C4="","",IF(B4&lt;Annahmen!$B$5,FV(Annahmen!$B$41,12,-D4/12,-(C4+F4),1),C4))</f>
        <v>3402.3557802030946</v>
      </c>
      <c r="K4" s="10">
        <f>IF(J4="","",J4/(1+Annahmen!$B$32)^1)</f>
        <v>3335.6429217677396</v>
      </c>
      <c r="L4" s="10">
        <f t="shared" ref="L4:L35" si="1">IF(J4="","",J4-H4-I4)</f>
        <v>162.35578020309458</v>
      </c>
    </row>
    <row r="5" spans="1:12" ht="14.25" customHeight="1" x14ac:dyDescent="0.3">
      <c r="A5" s="17">
        <f>Annahmen!$B$3+1</f>
        <v>2028</v>
      </c>
      <c r="B5" s="17">
        <f>Annahmen!$B$4+1</f>
        <v>41</v>
      </c>
      <c r="C5" s="10">
        <f>IF(B5&lt;=Annahmen!$B$5,J4,"")</f>
        <v>3402.3557802030946</v>
      </c>
      <c r="D5" s="10">
        <f>IF(B5&lt;=Annahmen!$B$5,IF(B5&lt;Annahmen!$B$5,Annahmen!$B$7*12,0),"")</f>
        <v>1800</v>
      </c>
      <c r="E5" s="17">
        <f>IF(D5="","",SUMPRODUCT((Annahmen!$B$17:$B$22&lt;&gt;"")*((A5-Annahmen!$B$17:$B$22)&gt;=0)*((A5-Annahmen!$B$17:$B$22)&lt;25)))</f>
        <v>3</v>
      </c>
      <c r="F5" s="10">
        <f>IF(D5="","",Annahmen!$B$25+E5*MIN(Annahmen!$B$24,Annahmen!$B$13))</f>
        <v>1440</v>
      </c>
      <c r="G5" s="10">
        <f t="shared" si="0"/>
        <v>3240</v>
      </c>
      <c r="H5" s="10">
        <f t="shared" ref="H5:H36" si="2">IF(D5="","",H4+D5)</f>
        <v>3600</v>
      </c>
      <c r="I5" s="10">
        <f t="shared" ref="I5:I36" si="3">IF(F5="","",I4+F5)</f>
        <v>2880</v>
      </c>
      <c r="J5" s="10">
        <f>IF(C5="","",IF(B5&lt;Annahmen!$B$5,FV(Annahmen!$B$41,12,-D5/12,-(C5+F5),1),C5))</f>
        <v>7034.3705755699038</v>
      </c>
      <c r="K5" s="10">
        <f>IF(J5="","",J5/(1+Annahmen!$B$32)^2)</f>
        <v>6761.2173928968705</v>
      </c>
      <c r="L5" s="10">
        <f t="shared" si="1"/>
        <v>554.37057556990385</v>
      </c>
    </row>
    <row r="6" spans="1:12" ht="14.25" customHeight="1" x14ac:dyDescent="0.3">
      <c r="A6" s="17">
        <f>Annahmen!$B$3+2</f>
        <v>2029</v>
      </c>
      <c r="B6" s="17">
        <f>Annahmen!$B$4+2</f>
        <v>42</v>
      </c>
      <c r="C6" s="10">
        <f>IF(B6&lt;=Annahmen!$B$5,J5,"")</f>
        <v>7034.3705755699038</v>
      </c>
      <c r="D6" s="10">
        <f>IF(B6&lt;=Annahmen!$B$5,IF(B6&lt;Annahmen!$B$5,Annahmen!$B$7*12,0),"")</f>
        <v>1800</v>
      </c>
      <c r="E6" s="17">
        <f>IF(D6="","",SUMPRODUCT((Annahmen!$B$17:$B$22&lt;&gt;"")*((A6-Annahmen!$B$17:$B$22)&gt;=0)*((A6-Annahmen!$B$17:$B$22)&lt;25)))</f>
        <v>3</v>
      </c>
      <c r="F6" s="10">
        <f>IF(D6="","",Annahmen!$B$25+E6*MIN(Annahmen!$B$24,Annahmen!$B$13))</f>
        <v>1440</v>
      </c>
      <c r="G6" s="10">
        <f t="shared" si="0"/>
        <v>3240</v>
      </c>
      <c r="H6" s="10">
        <f t="shared" si="2"/>
        <v>5400</v>
      </c>
      <c r="I6" s="10">
        <f t="shared" si="3"/>
        <v>4320</v>
      </c>
      <c r="J6" s="10">
        <f>IF(C6="","",IF(B6&lt;Annahmen!$B$5,FV(Annahmen!$B$41,12,-D6/12,-(C6+F6),1),C6))</f>
        <v>10911.546369623979</v>
      </c>
      <c r="K6" s="10">
        <f>IF(J6="","",J6/(1+Annahmen!$B$32)^3)</f>
        <v>10282.193848542396</v>
      </c>
      <c r="L6" s="10">
        <f t="shared" si="1"/>
        <v>1191.5463696239785</v>
      </c>
    </row>
    <row r="7" spans="1:12" ht="14.25" customHeight="1" x14ac:dyDescent="0.3">
      <c r="A7" s="17">
        <f>Annahmen!$B$3+3</f>
        <v>2030</v>
      </c>
      <c r="B7" s="17">
        <f>Annahmen!$B$4+3</f>
        <v>43</v>
      </c>
      <c r="C7" s="10">
        <f>IF(B7&lt;=Annahmen!$B$5,J6,"")</f>
        <v>10911.546369623979</v>
      </c>
      <c r="D7" s="10">
        <f>IF(B7&lt;=Annahmen!$B$5,IF(B7&lt;Annahmen!$B$5,Annahmen!$B$7*12,0),"")</f>
        <v>1800</v>
      </c>
      <c r="E7" s="17">
        <f>IF(D7="","",SUMPRODUCT((Annahmen!$B$17:$B$22&lt;&gt;"")*((A7-Annahmen!$B$17:$B$22)&gt;=0)*((A7-Annahmen!$B$17:$B$22)&lt;25)))</f>
        <v>3</v>
      </c>
      <c r="F7" s="10">
        <f>IF(D7="","",Annahmen!$B$25+E7*MIN(Annahmen!$B$24,Annahmen!$B$13))</f>
        <v>1440</v>
      </c>
      <c r="G7" s="10">
        <f t="shared" si="0"/>
        <v>3240</v>
      </c>
      <c r="H7" s="10">
        <f t="shared" si="2"/>
        <v>7200</v>
      </c>
      <c r="I7" s="10">
        <f t="shared" si="3"/>
        <v>5760</v>
      </c>
      <c r="J7" s="10">
        <f>IF(C7="","",IF(B7&lt;Annahmen!$B$5,FV(Annahmen!$B$41,12,-D7/12,-(C7+F7),1),C7))</f>
        <v>15050.431529776708</v>
      </c>
      <c r="K7" s="10">
        <f>IF(J7="","",J7/(1+Annahmen!$B$32)^4)</f>
        <v>13904.272328509445</v>
      </c>
      <c r="L7" s="10">
        <f t="shared" si="1"/>
        <v>2090.431529776708</v>
      </c>
    </row>
    <row r="8" spans="1:12" ht="14.25" customHeight="1" x14ac:dyDescent="0.3">
      <c r="A8" s="17">
        <f>Annahmen!$B$3+4</f>
        <v>2031</v>
      </c>
      <c r="B8" s="17">
        <f>Annahmen!$B$4+4</f>
        <v>44</v>
      </c>
      <c r="C8" s="10">
        <f>IF(B8&lt;=Annahmen!$B$5,J7,"")</f>
        <v>15050.431529776708</v>
      </c>
      <c r="D8" s="10">
        <f>IF(B8&lt;=Annahmen!$B$5,IF(B8&lt;Annahmen!$B$5,Annahmen!$B$7*12,0),"")</f>
        <v>1800</v>
      </c>
      <c r="E8" s="17">
        <f>IF(D8="","",SUMPRODUCT((Annahmen!$B$17:$B$22&lt;&gt;"")*((A8-Annahmen!$B$17:$B$22)&gt;=0)*((A8-Annahmen!$B$17:$B$22)&lt;25)))</f>
        <v>3</v>
      </c>
      <c r="F8" s="10">
        <f>IF(D8="","",Annahmen!$B$25+E8*MIN(Annahmen!$B$24,Annahmen!$B$13))</f>
        <v>1440</v>
      </c>
      <c r="G8" s="10">
        <f t="shared" si="0"/>
        <v>3240</v>
      </c>
      <c r="H8" s="10">
        <f t="shared" si="2"/>
        <v>9000</v>
      </c>
      <c r="I8" s="10">
        <f t="shared" si="3"/>
        <v>7200</v>
      </c>
      <c r="J8" s="10">
        <f>IF(C8="","",IF(B8&lt;Annahmen!$B$5,FV(Annahmen!$B$41,12,-D8/12,-(C8+F8),1),C8))</f>
        <v>19468.691438239752</v>
      </c>
      <c r="K8" s="10">
        <f>IF(J8="","",J8/(1+Annahmen!$B$32)^5)</f>
        <v>17633.393662685641</v>
      </c>
      <c r="L8" s="10">
        <f t="shared" si="1"/>
        <v>3268.6914382397517</v>
      </c>
    </row>
    <row r="9" spans="1:12" ht="14.25" customHeight="1" x14ac:dyDescent="0.3">
      <c r="A9" s="17">
        <f>Annahmen!$B$3+5</f>
        <v>2032</v>
      </c>
      <c r="B9" s="17">
        <f>Annahmen!$B$4+5</f>
        <v>45</v>
      </c>
      <c r="C9" s="10">
        <f>IF(B9&lt;=Annahmen!$B$5,J8,"")</f>
        <v>19468.691438239752</v>
      </c>
      <c r="D9" s="10">
        <f>IF(B9&lt;=Annahmen!$B$5,IF(B9&lt;Annahmen!$B$5,Annahmen!$B$7*12,0),"")</f>
        <v>1800</v>
      </c>
      <c r="E9" s="17">
        <f>IF(D9="","",SUMPRODUCT((Annahmen!$B$17:$B$22&lt;&gt;"")*((A9-Annahmen!$B$17:$B$22)&gt;=0)*((A9-Annahmen!$B$17:$B$22)&lt;25)))</f>
        <v>3</v>
      </c>
      <c r="F9" s="10">
        <f>IF(D9="","",Annahmen!$B$25+E9*MIN(Annahmen!$B$24,Annahmen!$B$13))</f>
        <v>1440</v>
      </c>
      <c r="G9" s="10">
        <f t="shared" si="0"/>
        <v>3240</v>
      </c>
      <c r="H9" s="10">
        <f t="shared" si="2"/>
        <v>10800</v>
      </c>
      <c r="I9" s="10">
        <f t="shared" si="3"/>
        <v>8640</v>
      </c>
      <c r="J9" s="10">
        <f>IF(C9="","",IF(B9&lt;Annahmen!$B$5,FV(Annahmen!$B$41,12,-D9/12,-(C9+F9),1),C9))</f>
        <v>24185.183890524055</v>
      </c>
      <c r="K9" s="10">
        <f>IF(J9="","",J9/(1+Annahmen!$B$32)^6)</f>
        <v>21475.751167695871</v>
      </c>
      <c r="L9" s="10">
        <f t="shared" si="1"/>
        <v>4745.1838905240547</v>
      </c>
    </row>
    <row r="10" spans="1:12" ht="14.25" customHeight="1" x14ac:dyDescent="0.3">
      <c r="A10" s="17">
        <f>Annahmen!$B$3+6</f>
        <v>2033</v>
      </c>
      <c r="B10" s="17">
        <f>Annahmen!$B$4+6</f>
        <v>46</v>
      </c>
      <c r="C10" s="10">
        <f>IF(B10&lt;=Annahmen!$B$5,J9,"")</f>
        <v>24185.183890524055</v>
      </c>
      <c r="D10" s="10">
        <f>IF(B10&lt;=Annahmen!$B$5,IF(B10&lt;Annahmen!$B$5,Annahmen!$B$7*12,0),"")</f>
        <v>1800</v>
      </c>
      <c r="E10" s="17">
        <f>IF(D10="","",SUMPRODUCT((Annahmen!$B$17:$B$22&lt;&gt;"")*((A10-Annahmen!$B$17:$B$22)&gt;=0)*((A10-Annahmen!$B$17:$B$22)&lt;25)))</f>
        <v>3</v>
      </c>
      <c r="F10" s="10">
        <f>IF(D10="","",Annahmen!$B$25+E10*MIN(Annahmen!$B$24,Annahmen!$B$13))</f>
        <v>1440</v>
      </c>
      <c r="G10" s="10">
        <f t="shared" si="0"/>
        <v>3240</v>
      </c>
      <c r="H10" s="10">
        <f t="shared" si="2"/>
        <v>12600</v>
      </c>
      <c r="I10" s="10">
        <f t="shared" si="3"/>
        <v>10080</v>
      </c>
      <c r="J10" s="10">
        <f>IF(C10="","",IF(B10&lt;Annahmen!$B$5,FV(Annahmen!$B$41,12,-D10/12,-(C10+F10),1),C10))</f>
        <v>29220.039583337555</v>
      </c>
      <c r="K10" s="10">
        <f>IF(J10="","",J10/(1+Annahmen!$B$32)^7)</f>
        <v>25437.802878775976</v>
      </c>
      <c r="L10" s="10">
        <f t="shared" si="1"/>
        <v>6540.0395833375551</v>
      </c>
    </row>
    <row r="11" spans="1:12" ht="14.25" customHeight="1" x14ac:dyDescent="0.3">
      <c r="A11" s="17">
        <f>Annahmen!$B$3+7</f>
        <v>2034</v>
      </c>
      <c r="B11" s="17">
        <f>Annahmen!$B$4+7</f>
        <v>47</v>
      </c>
      <c r="C11" s="10">
        <f>IF(B11&lt;=Annahmen!$B$5,J10,"")</f>
        <v>29220.039583337555</v>
      </c>
      <c r="D11" s="10">
        <f>IF(B11&lt;=Annahmen!$B$5,IF(B11&lt;Annahmen!$B$5,Annahmen!$B$7*12,0),"")</f>
        <v>1800</v>
      </c>
      <c r="E11" s="17">
        <f>IF(D11="","",SUMPRODUCT((Annahmen!$B$17:$B$22&lt;&gt;"")*((A11-Annahmen!$B$17:$B$22)&gt;=0)*((A11-Annahmen!$B$17:$B$22)&lt;25)))</f>
        <v>3</v>
      </c>
      <c r="F11" s="10">
        <f>IF(D11="","",Annahmen!$B$25+E11*MIN(Annahmen!$B$24,Annahmen!$B$13))</f>
        <v>1440</v>
      </c>
      <c r="G11" s="10">
        <f t="shared" si="0"/>
        <v>3240</v>
      </c>
      <c r="H11" s="10">
        <f t="shared" si="2"/>
        <v>14400</v>
      </c>
      <c r="I11" s="10">
        <f t="shared" si="3"/>
        <v>11520</v>
      </c>
      <c r="J11" s="10">
        <f>IF(C11="","",IF(B11&lt;Annahmen!$B$5,FV(Annahmen!$B$41,12,-D11/12,-(C11+F11),1),C11))</f>
        <v>34594.748035415978</v>
      </c>
      <c r="K11" s="10">
        <f>IF(J11="","",J11/(1+Annahmen!$B$32)^8)</f>
        <v>29526.284341975566</v>
      </c>
      <c r="L11" s="10">
        <f t="shared" si="1"/>
        <v>8674.7480354159779</v>
      </c>
    </row>
    <row r="12" spans="1:12" ht="14.25" customHeight="1" x14ac:dyDescent="0.3">
      <c r="A12" s="17">
        <f>Annahmen!$B$3+8</f>
        <v>2035</v>
      </c>
      <c r="B12" s="17">
        <f>Annahmen!$B$4+8</f>
        <v>48</v>
      </c>
      <c r="C12" s="10">
        <f>IF(B12&lt;=Annahmen!$B$5,J11,"")</f>
        <v>34594.748035415978</v>
      </c>
      <c r="D12" s="10">
        <f>IF(B12&lt;=Annahmen!$B$5,IF(B12&lt;Annahmen!$B$5,Annahmen!$B$7*12,0),"")</f>
        <v>1800</v>
      </c>
      <c r="E12" s="17">
        <f>IF(D12="","",SUMPRODUCT((Annahmen!$B$17:$B$22&lt;&gt;"")*((A12-Annahmen!$B$17:$B$22)&gt;=0)*((A12-Annahmen!$B$17:$B$22)&lt;25)))</f>
        <v>3</v>
      </c>
      <c r="F12" s="10">
        <f>IF(D12="","",Annahmen!$B$25+E12*MIN(Annahmen!$B$24,Annahmen!$B$13))</f>
        <v>1440</v>
      </c>
      <c r="G12" s="10">
        <f t="shared" si="0"/>
        <v>3240</v>
      </c>
      <c r="H12" s="10">
        <f t="shared" si="2"/>
        <v>16200</v>
      </c>
      <c r="I12" s="10">
        <f t="shared" si="3"/>
        <v>12960</v>
      </c>
      <c r="J12" s="10">
        <f>IF(C12="","",IF(B12&lt;Annahmen!$B$5,FV(Annahmen!$B$41,12,-D12/12,-(C12+F12),1),C12))</f>
        <v>40332.249308009705</v>
      </c>
      <c r="K12" s="10">
        <f>IF(J12="","",J12/(1+Annahmen!$B$32)^9)</f>
        <v>33748.221992966006</v>
      </c>
      <c r="L12" s="10">
        <f t="shared" si="1"/>
        <v>11172.249308009705</v>
      </c>
    </row>
    <row r="13" spans="1:12" ht="14.25" customHeight="1" x14ac:dyDescent="0.3">
      <c r="A13" s="17">
        <f>Annahmen!$B$3+9</f>
        <v>2036</v>
      </c>
      <c r="B13" s="17">
        <f>Annahmen!$B$4+9</f>
        <v>49</v>
      </c>
      <c r="C13" s="10">
        <f>IF(B13&lt;=Annahmen!$B$5,J12,"")</f>
        <v>40332.249308009705</v>
      </c>
      <c r="D13" s="10">
        <f>IF(B13&lt;=Annahmen!$B$5,IF(B13&lt;Annahmen!$B$5,Annahmen!$B$7*12,0),"")</f>
        <v>1800</v>
      </c>
      <c r="E13" s="17">
        <f>IF(D13="","",SUMPRODUCT((Annahmen!$B$17:$B$22&lt;&gt;"")*((A13-Annahmen!$B$17:$B$22)&gt;=0)*((A13-Annahmen!$B$17:$B$22)&lt;25)))</f>
        <v>3</v>
      </c>
      <c r="F13" s="10">
        <f>IF(D13="","",Annahmen!$B$25+E13*MIN(Annahmen!$B$24,Annahmen!$B$13))</f>
        <v>1440</v>
      </c>
      <c r="G13" s="10">
        <f t="shared" si="0"/>
        <v>3240</v>
      </c>
      <c r="H13" s="10">
        <f t="shared" si="2"/>
        <v>18000</v>
      </c>
      <c r="I13" s="10">
        <f t="shared" si="3"/>
        <v>14400</v>
      </c>
      <c r="J13" s="10">
        <f>IF(C13="","",IF(B13&lt;Annahmen!$B$5,FV(Annahmen!$B$41,12,-D13/12,-(C13+F13),1),C13))</f>
        <v>46457.031916503518</v>
      </c>
      <c r="K13" s="10">
        <f>IF(J13="","",J13/(1+Annahmen!$B$32)^10)</f>
        <v>38110.94714994949</v>
      </c>
      <c r="L13" s="10">
        <f t="shared" si="1"/>
        <v>14057.031916503518</v>
      </c>
    </row>
    <row r="14" spans="1:12" ht="14.25" customHeight="1" x14ac:dyDescent="0.3">
      <c r="A14" s="17">
        <f>Annahmen!$B$3+10</f>
        <v>2037</v>
      </c>
      <c r="B14" s="17">
        <f>Annahmen!$B$4+10</f>
        <v>50</v>
      </c>
      <c r="C14" s="10">
        <f>IF(B14&lt;=Annahmen!$B$5,J13,"")</f>
        <v>46457.031916503518</v>
      </c>
      <c r="D14" s="10">
        <f>IF(B14&lt;=Annahmen!$B$5,IF(B14&lt;Annahmen!$B$5,Annahmen!$B$7*12,0),"")</f>
        <v>1800</v>
      </c>
      <c r="E14" s="17">
        <f>IF(D14="","",SUMPRODUCT((Annahmen!$B$17:$B$22&lt;&gt;"")*((A14-Annahmen!$B$17:$B$22)&gt;=0)*((A14-Annahmen!$B$17:$B$22)&lt;25)))</f>
        <v>3</v>
      </c>
      <c r="F14" s="10">
        <f>IF(D14="","",Annahmen!$B$25+E14*MIN(Annahmen!$B$24,Annahmen!$B$13))</f>
        <v>1440</v>
      </c>
      <c r="G14" s="10">
        <f t="shared" si="0"/>
        <v>3240</v>
      </c>
      <c r="H14" s="10">
        <f t="shared" si="2"/>
        <v>19800</v>
      </c>
      <c r="I14" s="10">
        <f t="shared" si="3"/>
        <v>15840</v>
      </c>
      <c r="J14" s="10">
        <f>IF(C14="","",IF(B14&lt;Annahmen!$B$5,FV(Annahmen!$B$41,12,-D14/12,-(C14+F14),1),C14))</f>
        <v>52995.237351070668</v>
      </c>
      <c r="K14" s="10">
        <f>IF(J14="","",J14/(1+Annahmen!$B$32)^11)</f>
        <v>42622.110649442315</v>
      </c>
      <c r="L14" s="10">
        <f t="shared" si="1"/>
        <v>17355.237351070668</v>
      </c>
    </row>
    <row r="15" spans="1:12" ht="14.25" customHeight="1" x14ac:dyDescent="0.3">
      <c r="A15" s="17">
        <f>Annahmen!$B$3+11</f>
        <v>2038</v>
      </c>
      <c r="B15" s="17">
        <f>Annahmen!$B$4+11</f>
        <v>51</v>
      </c>
      <c r="C15" s="10">
        <f>IF(B15&lt;=Annahmen!$B$5,J14,"")</f>
        <v>52995.237351070668</v>
      </c>
      <c r="D15" s="10">
        <f>IF(B15&lt;=Annahmen!$B$5,IF(B15&lt;Annahmen!$B$5,Annahmen!$B$7*12,0),"")</f>
        <v>1800</v>
      </c>
      <c r="E15" s="17">
        <f>IF(D15="","",SUMPRODUCT((Annahmen!$B$17:$B$22&lt;&gt;"")*((A15-Annahmen!$B$17:$B$22)&gt;=0)*((A15-Annahmen!$B$17:$B$22)&lt;25)))</f>
        <v>3</v>
      </c>
      <c r="F15" s="10">
        <f>IF(D15="","",Annahmen!$B$25+E15*MIN(Annahmen!$B$24,Annahmen!$B$13))</f>
        <v>1440</v>
      </c>
      <c r="G15" s="10">
        <f t="shared" si="0"/>
        <v>3240</v>
      </c>
      <c r="H15" s="10">
        <f t="shared" si="2"/>
        <v>21600</v>
      </c>
      <c r="I15" s="10">
        <f t="shared" si="3"/>
        <v>17280</v>
      </c>
      <c r="J15" s="10">
        <f>IF(C15="","",IF(B15&lt;Annahmen!$B$5,FV(Annahmen!$B$41,12,-D15/12,-(C15+F15),1),C15))</f>
        <v>59974.771652471114</v>
      </c>
      <c r="K15" s="10">
        <f>IF(J15="","",J15/(1+Annahmen!$B$32)^12)</f>
        <v>47289.698155041653</v>
      </c>
      <c r="L15" s="10">
        <f t="shared" si="1"/>
        <v>21094.771652471114</v>
      </c>
    </row>
    <row r="16" spans="1:12" ht="14.25" customHeight="1" x14ac:dyDescent="0.3">
      <c r="A16" s="17">
        <f>Annahmen!$B$3+12</f>
        <v>2039</v>
      </c>
      <c r="B16" s="17">
        <f>Annahmen!$B$4+12</f>
        <v>52</v>
      </c>
      <c r="C16" s="10">
        <f>IF(B16&lt;=Annahmen!$B$5,J15,"")</f>
        <v>59974.771652471114</v>
      </c>
      <c r="D16" s="10">
        <f>IF(B16&lt;=Annahmen!$B$5,IF(B16&lt;Annahmen!$B$5,Annahmen!$B$7*12,0),"")</f>
        <v>1800</v>
      </c>
      <c r="E16" s="17">
        <f>IF(D16="","",SUMPRODUCT((Annahmen!$B$17:$B$22&lt;&gt;"")*((A16-Annahmen!$B$17:$B$22)&gt;=0)*((A16-Annahmen!$B$17:$B$22)&lt;25)))</f>
        <v>3</v>
      </c>
      <c r="F16" s="10">
        <f>IF(D16="","",Annahmen!$B$25+E16*MIN(Annahmen!$B$24,Annahmen!$B$13))</f>
        <v>1440</v>
      </c>
      <c r="G16" s="10">
        <f t="shared" si="0"/>
        <v>3240</v>
      </c>
      <c r="H16" s="10">
        <f t="shared" si="2"/>
        <v>23400</v>
      </c>
      <c r="I16" s="10">
        <f t="shared" si="3"/>
        <v>18720</v>
      </c>
      <c r="J16" s="10">
        <f>IF(C16="","",IF(B16&lt;Annahmen!$B$5,FV(Annahmen!$B$41,12,-D16/12,-(C16+F16),1),C16))</f>
        <v>67425.424519216089</v>
      </c>
      <c r="K16" s="10">
        <f>IF(J16="","",J16/(1+Annahmen!$B$32)^13)</f>
        <v>52122.046170684291</v>
      </c>
      <c r="L16" s="10">
        <f t="shared" si="1"/>
        <v>25305.424519216089</v>
      </c>
    </row>
    <row r="17" spans="1:12" ht="14.25" customHeight="1" x14ac:dyDescent="0.3">
      <c r="A17" s="17">
        <f>Annahmen!$B$3+13</f>
        <v>2040</v>
      </c>
      <c r="B17" s="17">
        <f>Annahmen!$B$4+13</f>
        <v>53</v>
      </c>
      <c r="C17" s="10">
        <f>IF(B17&lt;=Annahmen!$B$5,J16,"")</f>
        <v>67425.424519216089</v>
      </c>
      <c r="D17" s="10">
        <f>IF(B17&lt;=Annahmen!$B$5,IF(B17&lt;Annahmen!$B$5,Annahmen!$B$7*12,0),"")</f>
        <v>1800</v>
      </c>
      <c r="E17" s="17">
        <f>IF(D17="","",SUMPRODUCT((Annahmen!$B$17:$B$22&lt;&gt;"")*((A17-Annahmen!$B$17:$B$22)&gt;=0)*((A17-Annahmen!$B$17:$B$22)&lt;25)))</f>
        <v>3</v>
      </c>
      <c r="F17" s="10">
        <f>IF(D17="","",Annahmen!$B$25+E17*MIN(Annahmen!$B$24,Annahmen!$B$13))</f>
        <v>1440</v>
      </c>
      <c r="G17" s="10">
        <f t="shared" si="0"/>
        <v>3240</v>
      </c>
      <c r="H17" s="10">
        <f t="shared" si="2"/>
        <v>25200</v>
      </c>
      <c r="I17" s="10">
        <f t="shared" si="3"/>
        <v>20160</v>
      </c>
      <c r="J17" s="10">
        <f>IF(C17="","",IF(B17&lt;Annahmen!$B$5,FV(Annahmen!$B$41,12,-D17/12,-(C17+F17),1),C17))</f>
        <v>75378.996454466367</v>
      </c>
      <c r="K17" s="10">
        <f>IF(J17="","",J17/(1+Annahmen!$B$32)^14)</f>
        <v>57127.858791369283</v>
      </c>
      <c r="L17" s="10">
        <f t="shared" si="1"/>
        <v>30018.996454466367</v>
      </c>
    </row>
    <row r="18" spans="1:12" ht="14.25" customHeight="1" x14ac:dyDescent="0.3">
      <c r="A18" s="17">
        <f>Annahmen!$B$3+14</f>
        <v>2041</v>
      </c>
      <c r="B18" s="17">
        <f>Annahmen!$B$4+14</f>
        <v>54</v>
      </c>
      <c r="C18" s="10">
        <f>IF(B18&lt;=Annahmen!$B$5,J17,"")</f>
        <v>75378.996454466367</v>
      </c>
      <c r="D18" s="10">
        <f>IF(B18&lt;=Annahmen!$B$5,IF(B18&lt;Annahmen!$B$5,Annahmen!$B$7*12,0),"")</f>
        <v>1800</v>
      </c>
      <c r="E18" s="17">
        <f>IF(D18="","",SUMPRODUCT((Annahmen!$B$17:$B$22&lt;&gt;"")*((A18-Annahmen!$B$17:$B$22)&gt;=0)*((A18-Annahmen!$B$17:$B$22)&lt;25)))</f>
        <v>3</v>
      </c>
      <c r="F18" s="10">
        <f>IF(D18="","",Annahmen!$B$25+E18*MIN(Annahmen!$B$24,Annahmen!$B$13))</f>
        <v>1440</v>
      </c>
      <c r="G18" s="10">
        <f t="shared" si="0"/>
        <v>3240</v>
      </c>
      <c r="H18" s="10">
        <f t="shared" si="2"/>
        <v>27000</v>
      </c>
      <c r="I18" s="10">
        <f t="shared" si="3"/>
        <v>21600</v>
      </c>
      <c r="J18" s="10">
        <f>IF(C18="","",IF(B18&lt;Annahmen!$B$5,FV(Annahmen!$B$41,12,-D18/12,-(C18+F18),1),C18))</f>
        <v>83869.434495346039</v>
      </c>
      <c r="K18" s="10">
        <f>IF(J18="","",J18/(1+Annahmen!$B$32)^15)</f>
        <v>62316.225225849339</v>
      </c>
      <c r="L18" s="10">
        <f t="shared" si="1"/>
        <v>35269.434495346039</v>
      </c>
    </row>
    <row r="19" spans="1:12" ht="14.25" customHeight="1" x14ac:dyDescent="0.3">
      <c r="A19" s="17">
        <f>Annahmen!$B$3+15</f>
        <v>2042</v>
      </c>
      <c r="B19" s="17">
        <f>Annahmen!$B$4+15</f>
        <v>55</v>
      </c>
      <c r="C19" s="10">
        <f>IF(B19&lt;=Annahmen!$B$5,J18,"")</f>
        <v>83869.434495346039</v>
      </c>
      <c r="D19" s="10">
        <f>IF(B19&lt;=Annahmen!$B$5,IF(B19&lt;Annahmen!$B$5,Annahmen!$B$7*12,0),"")</f>
        <v>1800</v>
      </c>
      <c r="E19" s="17">
        <f>IF(D19="","",SUMPRODUCT((Annahmen!$B$17:$B$22&lt;&gt;"")*((A19-Annahmen!$B$17:$B$22)&gt;=0)*((A19-Annahmen!$B$17:$B$22)&lt;25)))</f>
        <v>3</v>
      </c>
      <c r="F19" s="10">
        <f>IF(D19="","",Annahmen!$B$25+E19*MIN(Annahmen!$B$24,Annahmen!$B$13))</f>
        <v>1440</v>
      </c>
      <c r="G19" s="10">
        <f t="shared" si="0"/>
        <v>3240</v>
      </c>
      <c r="H19" s="10">
        <f t="shared" si="2"/>
        <v>28800</v>
      </c>
      <c r="I19" s="10">
        <f t="shared" si="3"/>
        <v>23040</v>
      </c>
      <c r="J19" s="10">
        <f>IF(C19="","",IF(B19&lt;Annahmen!$B$5,FV(Annahmen!$B$41,12,-D19/12,-(C19+F19),1),C19))</f>
        <v>92932.977103985104</v>
      </c>
      <c r="K19" s="10">
        <f>IF(J19="","",J19/(1+Annahmen!$B$32)^16)</f>
        <v>67696.63812739875</v>
      </c>
      <c r="L19" s="10">
        <f t="shared" si="1"/>
        <v>41092.977103985104</v>
      </c>
    </row>
    <row r="20" spans="1:12" ht="14.25" customHeight="1" x14ac:dyDescent="0.3">
      <c r="A20" s="17">
        <f>Annahmen!$B$3+16</f>
        <v>2043</v>
      </c>
      <c r="B20" s="17">
        <f>Annahmen!$B$4+16</f>
        <v>56</v>
      </c>
      <c r="C20" s="10">
        <f>IF(B20&lt;=Annahmen!$B$5,J19,"")</f>
        <v>92932.977103985104</v>
      </c>
      <c r="D20" s="10">
        <f>IF(B20&lt;=Annahmen!$B$5,IF(B20&lt;Annahmen!$B$5,Annahmen!$B$7*12,0),"")</f>
        <v>1800</v>
      </c>
      <c r="E20" s="17">
        <f>IF(D20="","",SUMPRODUCT((Annahmen!$B$17:$B$22&lt;&gt;"")*((A20-Annahmen!$B$17:$B$22)&gt;=0)*((A20-Annahmen!$B$17:$B$22)&lt;25)))</f>
        <v>2</v>
      </c>
      <c r="F20" s="10">
        <f>IF(D20="","",Annahmen!$B$25+E20*MIN(Annahmen!$B$24,Annahmen!$B$13))</f>
        <v>1140</v>
      </c>
      <c r="G20" s="10">
        <f t="shared" si="0"/>
        <v>2940</v>
      </c>
      <c r="H20" s="10">
        <f t="shared" si="2"/>
        <v>30600</v>
      </c>
      <c r="I20" s="10">
        <f t="shared" si="3"/>
        <v>24180</v>
      </c>
      <c r="J20" s="10">
        <f>IF(C20="","",IF(B20&lt;Annahmen!$B$5,FV(Annahmen!$B$41,12,-D20/12,-(C20+F20),1),C20))</f>
        <v>102288.05883870732</v>
      </c>
      <c r="K20" s="10">
        <f>IF(J20="","",J20/(1+Annahmen!$B$32)^17)</f>
        <v>73050.302209815331</v>
      </c>
      <c r="L20" s="10">
        <f t="shared" si="1"/>
        <v>47508.058838707322</v>
      </c>
    </row>
    <row r="21" spans="1:12" ht="14.25" customHeight="1" x14ac:dyDescent="0.3">
      <c r="A21" s="17">
        <f>Annahmen!$B$3+17</f>
        <v>2044</v>
      </c>
      <c r="B21" s="17">
        <f>Annahmen!$B$4+17</f>
        <v>57</v>
      </c>
      <c r="C21" s="10">
        <f>IF(B21&lt;=Annahmen!$B$5,J20,"")</f>
        <v>102288.05883870732</v>
      </c>
      <c r="D21" s="10">
        <f>IF(B21&lt;=Annahmen!$B$5,IF(B21&lt;Annahmen!$B$5,Annahmen!$B$7*12,0),"")</f>
        <v>1800</v>
      </c>
      <c r="E21" s="17">
        <f>IF(D21="","",SUMPRODUCT((Annahmen!$B$17:$B$22&lt;&gt;"")*((A21-Annahmen!$B$17:$B$22)&gt;=0)*((A21-Annahmen!$B$17:$B$22)&lt;25)))</f>
        <v>2</v>
      </c>
      <c r="F21" s="10">
        <f>IF(D21="","",Annahmen!$B$25+E21*MIN(Annahmen!$B$24,Annahmen!$B$13))</f>
        <v>1140</v>
      </c>
      <c r="G21" s="10">
        <f t="shared" si="0"/>
        <v>2940</v>
      </c>
      <c r="H21" s="10">
        <f t="shared" si="2"/>
        <v>32400</v>
      </c>
      <c r="I21" s="10">
        <f t="shared" si="3"/>
        <v>25320</v>
      </c>
      <c r="J21" s="10">
        <f>IF(C21="","",IF(B21&lt;Annahmen!$B$5,FV(Annahmen!$B$41,12,-D21/12,-(C21+F21),1),C21))</f>
        <v>112274.6085905233</v>
      </c>
      <c r="K21" s="10">
        <f>IF(J21="","",J21/(1+Annahmen!$B$32)^18)</f>
        <v>78610.119775250801</v>
      </c>
      <c r="L21" s="10">
        <f t="shared" si="1"/>
        <v>54554.608590523305</v>
      </c>
    </row>
    <row r="22" spans="1:12" ht="14.25" customHeight="1" x14ac:dyDescent="0.3">
      <c r="A22" s="17">
        <f>Annahmen!$B$3+18</f>
        <v>2045</v>
      </c>
      <c r="B22" s="17">
        <f>Annahmen!$B$4+18</f>
        <v>58</v>
      </c>
      <c r="C22" s="10">
        <f>IF(B22&lt;=Annahmen!$B$5,J21,"")</f>
        <v>112274.6085905233</v>
      </c>
      <c r="D22" s="10">
        <f>IF(B22&lt;=Annahmen!$B$5,IF(B22&lt;Annahmen!$B$5,Annahmen!$B$7*12,0),"")</f>
        <v>1800</v>
      </c>
      <c r="E22" s="17">
        <f>IF(D22="","",SUMPRODUCT((Annahmen!$B$17:$B$22&lt;&gt;"")*((A22-Annahmen!$B$17:$B$22)&gt;=0)*((A22-Annahmen!$B$17:$B$22)&lt;25)))</f>
        <v>1</v>
      </c>
      <c r="F22" s="10">
        <f>IF(D22="","",Annahmen!$B$25+E22*MIN(Annahmen!$B$24,Annahmen!$B$13))</f>
        <v>840</v>
      </c>
      <c r="G22" s="10">
        <f t="shared" si="0"/>
        <v>2640</v>
      </c>
      <c r="H22" s="10">
        <f t="shared" si="2"/>
        <v>34200</v>
      </c>
      <c r="I22" s="10">
        <f t="shared" si="3"/>
        <v>26160</v>
      </c>
      <c r="J22" s="10">
        <f>IF(C22="","",IF(B22&lt;Annahmen!$B$5,FV(Annahmen!$B$41,12,-D22/12,-(C22+F22),1),C22))</f>
        <v>122615.00045058689</v>
      </c>
      <c r="K22" s="10">
        <f>IF(J22="","",J22/(1+Annahmen!$B$32)^19)</f>
        <v>84166.707918522094</v>
      </c>
      <c r="L22" s="10">
        <f t="shared" si="1"/>
        <v>62255.000450586886</v>
      </c>
    </row>
    <row r="23" spans="1:12" ht="14.25" customHeight="1" x14ac:dyDescent="0.3">
      <c r="A23" s="17">
        <f>Annahmen!$B$3+19</f>
        <v>2046</v>
      </c>
      <c r="B23" s="17">
        <f>Annahmen!$B$4+19</f>
        <v>59</v>
      </c>
      <c r="C23" s="10">
        <f>IF(B23&lt;=Annahmen!$B$5,J22,"")</f>
        <v>122615.00045058689</v>
      </c>
      <c r="D23" s="10">
        <f>IF(B23&lt;=Annahmen!$B$5,IF(B23&lt;Annahmen!$B$5,Annahmen!$B$7*12,0),"")</f>
        <v>1800</v>
      </c>
      <c r="E23" s="17">
        <f>IF(D23="","",SUMPRODUCT((Annahmen!$B$17:$B$22&lt;&gt;"")*((A23-Annahmen!$B$17:$B$22)&gt;=0)*((A23-Annahmen!$B$17:$B$22)&lt;25)))</f>
        <v>1</v>
      </c>
      <c r="F23" s="10">
        <f>IF(D23="","",Annahmen!$B$25+E23*MIN(Annahmen!$B$24,Annahmen!$B$13))</f>
        <v>840</v>
      </c>
      <c r="G23" s="10">
        <f t="shared" si="0"/>
        <v>2640</v>
      </c>
      <c r="H23" s="10">
        <f t="shared" si="2"/>
        <v>36000</v>
      </c>
      <c r="I23" s="10">
        <f t="shared" si="3"/>
        <v>27000</v>
      </c>
      <c r="J23" s="10">
        <f>IF(C23="","",IF(B23&lt;Annahmen!$B$5,FV(Annahmen!$B$41,12,-D23/12,-(C23+F23),1),C23))</f>
        <v>133653.36876120477</v>
      </c>
      <c r="K23" s="10">
        <f>IF(J23="","",J23/(1+Annahmen!$B$32)^20)</f>
        <v>89944.88574961081</v>
      </c>
      <c r="L23" s="10">
        <f t="shared" si="1"/>
        <v>70653.368761204765</v>
      </c>
    </row>
    <row r="24" spans="1:12" ht="14.25" customHeight="1" x14ac:dyDescent="0.3">
      <c r="A24" s="17">
        <f>Annahmen!$B$3+20</f>
        <v>2047</v>
      </c>
      <c r="B24" s="17">
        <f>Annahmen!$B$4+20</f>
        <v>60</v>
      </c>
      <c r="C24" s="10">
        <f>IF(B24&lt;=Annahmen!$B$5,J23,"")</f>
        <v>133653.36876120477</v>
      </c>
      <c r="D24" s="10">
        <f>IF(B24&lt;=Annahmen!$B$5,IF(B24&lt;Annahmen!$B$5,Annahmen!$B$7*12,0),"")</f>
        <v>1800</v>
      </c>
      <c r="E24" s="17">
        <f>IF(D24="","",SUMPRODUCT((Annahmen!$B$17:$B$22&lt;&gt;"")*((A24-Annahmen!$B$17:$B$22)&gt;=0)*((A24-Annahmen!$B$17:$B$22)&lt;25)))</f>
        <v>0</v>
      </c>
      <c r="F24" s="10">
        <f>IF(D24="","",Annahmen!$B$25+E24*MIN(Annahmen!$B$24,Annahmen!$B$13))</f>
        <v>540</v>
      </c>
      <c r="G24" s="10">
        <f t="shared" si="0"/>
        <v>2340</v>
      </c>
      <c r="H24" s="10">
        <f t="shared" si="2"/>
        <v>37800</v>
      </c>
      <c r="I24" s="10">
        <f t="shared" si="3"/>
        <v>27540</v>
      </c>
      <c r="J24" s="10">
        <f>IF(C24="","",IF(B24&lt;Annahmen!$B$5,FV(Annahmen!$B$41,12,-D24/12,-(C24+F24),1),C24))</f>
        <v>145116.57693278938</v>
      </c>
      <c r="K24" s="10">
        <f>IF(J24="","",J24/(1+Annahmen!$B$32)^21)</f>
        <v>95744.408073075785</v>
      </c>
      <c r="L24" s="10">
        <f t="shared" si="1"/>
        <v>79776.576932789379</v>
      </c>
    </row>
    <row r="25" spans="1:12" ht="14.25" customHeight="1" x14ac:dyDescent="0.3">
      <c r="A25" s="17">
        <f>Annahmen!$B$3+21</f>
        <v>2048</v>
      </c>
      <c r="B25" s="17">
        <f>Annahmen!$B$4+21</f>
        <v>61</v>
      </c>
      <c r="C25" s="10">
        <f>IF(B25&lt;=Annahmen!$B$5,J24,"")</f>
        <v>145116.57693278938</v>
      </c>
      <c r="D25" s="10">
        <f>IF(B25&lt;=Annahmen!$B$5,IF(B25&lt;Annahmen!$B$5,Annahmen!$B$7*12,0),"")</f>
        <v>1800</v>
      </c>
      <c r="E25" s="17">
        <f>IF(D25="","",SUMPRODUCT((Annahmen!$B$17:$B$22&lt;&gt;"")*((A25-Annahmen!$B$17:$B$22)&gt;=0)*((A25-Annahmen!$B$17:$B$22)&lt;25)))</f>
        <v>0</v>
      </c>
      <c r="F25" s="10">
        <f>IF(D25="","",Annahmen!$B$25+E25*MIN(Annahmen!$B$24,Annahmen!$B$13))</f>
        <v>540</v>
      </c>
      <c r="G25" s="10">
        <f t="shared" si="0"/>
        <v>2340</v>
      </c>
      <c r="H25" s="10">
        <f t="shared" si="2"/>
        <v>39600</v>
      </c>
      <c r="I25" s="10">
        <f t="shared" si="3"/>
        <v>28080</v>
      </c>
      <c r="J25" s="10">
        <f>IF(C25="","",IF(B25&lt;Annahmen!$B$5,FV(Annahmen!$B$41,12,-D25/12,-(C25+F25),1),C25))</f>
        <v>157353.55165595596</v>
      </c>
      <c r="K25" s="10">
        <f>IF(J25="","",J25/(1+Annahmen!$B$32)^22)</f>
        <v>101782.41967243013</v>
      </c>
      <c r="L25" s="10">
        <f t="shared" si="1"/>
        <v>89673.551655955962</v>
      </c>
    </row>
    <row r="26" spans="1:12" ht="14.25" customHeight="1" x14ac:dyDescent="0.3">
      <c r="A26" s="17">
        <f>Annahmen!$B$3+22</f>
        <v>2049</v>
      </c>
      <c r="B26" s="17">
        <f>Annahmen!$B$4+22</f>
        <v>62</v>
      </c>
      <c r="C26" s="10">
        <f>IF(B26&lt;=Annahmen!$B$5,J25,"")</f>
        <v>157353.55165595596</v>
      </c>
      <c r="D26" s="10">
        <f>IF(B26&lt;=Annahmen!$B$5,IF(B26&lt;Annahmen!$B$5,Annahmen!$B$7*12,0),"")</f>
        <v>1800</v>
      </c>
      <c r="E26" s="17">
        <f>IF(D26="","",SUMPRODUCT((Annahmen!$B$17:$B$22&lt;&gt;"")*((A26-Annahmen!$B$17:$B$22)&gt;=0)*((A26-Annahmen!$B$17:$B$22)&lt;25)))</f>
        <v>0</v>
      </c>
      <c r="F26" s="10">
        <f>IF(D26="","",Annahmen!$B$25+E26*MIN(Annahmen!$B$24,Annahmen!$B$13))</f>
        <v>540</v>
      </c>
      <c r="G26" s="10">
        <f t="shared" si="0"/>
        <v>2340</v>
      </c>
      <c r="H26" s="10">
        <f t="shared" si="2"/>
        <v>41400</v>
      </c>
      <c r="I26" s="10">
        <f t="shared" si="3"/>
        <v>28620</v>
      </c>
      <c r="J26" s="10">
        <f>IF(C26="","",IF(B26&lt;Annahmen!$B$5,FV(Annahmen!$B$41,12,-D26/12,-(C26+F26),1),C26))</f>
        <v>170416.5221729363</v>
      </c>
      <c r="K26" s="10">
        <f>IF(J26="","",J26/(1+Annahmen!$B$32)^23)</f>
        <v>108070.64600941553</v>
      </c>
      <c r="L26" s="10">
        <f t="shared" si="1"/>
        <v>100396.5221729363</v>
      </c>
    </row>
    <row r="27" spans="1:12" ht="14.25" customHeight="1" x14ac:dyDescent="0.3">
      <c r="A27" s="17">
        <f>Annahmen!$B$3+23</f>
        <v>2050</v>
      </c>
      <c r="B27" s="17">
        <f>Annahmen!$B$4+23</f>
        <v>63</v>
      </c>
      <c r="C27" s="10">
        <f>IF(B27&lt;=Annahmen!$B$5,J26,"")</f>
        <v>170416.5221729363</v>
      </c>
      <c r="D27" s="10">
        <f>IF(B27&lt;=Annahmen!$B$5,IF(B27&lt;Annahmen!$B$5,Annahmen!$B$7*12,0),"")</f>
        <v>1800</v>
      </c>
      <c r="E27" s="17">
        <f>IF(D27="","",SUMPRODUCT((Annahmen!$B$17:$B$22&lt;&gt;"")*((A27-Annahmen!$B$17:$B$22)&gt;=0)*((A27-Annahmen!$B$17:$B$22)&lt;25)))</f>
        <v>0</v>
      </c>
      <c r="F27" s="10">
        <f>IF(D27="","",Annahmen!$B$25+E27*MIN(Annahmen!$B$24,Annahmen!$B$13))</f>
        <v>540</v>
      </c>
      <c r="G27" s="10">
        <f t="shared" si="0"/>
        <v>2340</v>
      </c>
      <c r="H27" s="10">
        <f t="shared" si="2"/>
        <v>43200</v>
      </c>
      <c r="I27" s="10">
        <f t="shared" si="3"/>
        <v>29160</v>
      </c>
      <c r="J27" s="10">
        <f>IF(C27="","",IF(B27&lt;Annahmen!$B$5,FV(Annahmen!$B$41,12,-D27/12,-(C27+F27),1),C27))</f>
        <v>184361.24319981283</v>
      </c>
      <c r="K27" s="10">
        <f>IF(J27="","",J27/(1+Annahmen!$B$32)^24)</f>
        <v>114621.34644044288</v>
      </c>
      <c r="L27" s="10">
        <f t="shared" si="1"/>
        <v>112001.24319981283</v>
      </c>
    </row>
    <row r="28" spans="1:12" ht="14.25" customHeight="1" x14ac:dyDescent="0.3">
      <c r="A28" s="17">
        <f>Annahmen!$B$3+24</f>
        <v>2051</v>
      </c>
      <c r="B28" s="17">
        <f>Annahmen!$B$4+24</f>
        <v>64</v>
      </c>
      <c r="C28" s="10">
        <f>IF(B28&lt;=Annahmen!$B$5,J27,"")</f>
        <v>184361.24319981283</v>
      </c>
      <c r="D28" s="10">
        <f>IF(B28&lt;=Annahmen!$B$5,IF(B28&lt;Annahmen!$B$5,Annahmen!$B$7*12,0),"")</f>
        <v>1800</v>
      </c>
      <c r="E28" s="17">
        <f>IF(D28="","",SUMPRODUCT((Annahmen!$B$17:$B$22&lt;&gt;"")*((A28-Annahmen!$B$17:$B$22)&gt;=0)*((A28-Annahmen!$B$17:$B$22)&lt;25)))</f>
        <v>0</v>
      </c>
      <c r="F28" s="10">
        <f>IF(D28="","",Annahmen!$B$25+E28*MIN(Annahmen!$B$24,Annahmen!$B$13))</f>
        <v>540</v>
      </c>
      <c r="G28" s="10">
        <f t="shared" si="0"/>
        <v>2340</v>
      </c>
      <c r="H28" s="10">
        <f t="shared" si="2"/>
        <v>45000</v>
      </c>
      <c r="I28" s="10">
        <f t="shared" si="3"/>
        <v>29700</v>
      </c>
      <c r="J28" s="10">
        <f>IF(C28="","",IF(B28&lt;Annahmen!$B$5,FV(Annahmen!$B$41,12,-D28/12,-(C28+F28),1),C28))</f>
        <v>199247.23289600355</v>
      </c>
      <c r="K28" s="10">
        <f>IF(J28="","",J28/(1+Annahmen!$B$32)^25)</f>
        <v>121447.33931745186</v>
      </c>
      <c r="L28" s="10">
        <f t="shared" si="1"/>
        <v>124547.23289600355</v>
      </c>
    </row>
    <row r="29" spans="1:12" ht="14.25" customHeight="1" x14ac:dyDescent="0.3">
      <c r="A29" s="17">
        <f>Annahmen!$B$3+25</f>
        <v>2052</v>
      </c>
      <c r="B29" s="17">
        <f>Annahmen!$B$4+25</f>
        <v>65</v>
      </c>
      <c r="C29" s="10">
        <f>IF(B29&lt;=Annahmen!$B$5,J28,"")</f>
        <v>199247.23289600355</v>
      </c>
      <c r="D29" s="10">
        <f>IF(B29&lt;=Annahmen!$B$5,IF(B29&lt;Annahmen!$B$5,Annahmen!$B$7*12,0),"")</f>
        <v>1800</v>
      </c>
      <c r="E29" s="17">
        <f>IF(D29="","",SUMPRODUCT((Annahmen!$B$17:$B$22&lt;&gt;"")*((A29-Annahmen!$B$17:$B$22)&gt;=0)*((A29-Annahmen!$B$17:$B$22)&lt;25)))</f>
        <v>0</v>
      </c>
      <c r="F29" s="10">
        <f>IF(D29="","",Annahmen!$B$25+E29*MIN(Annahmen!$B$24,Annahmen!$B$13))</f>
        <v>540</v>
      </c>
      <c r="G29" s="10">
        <f t="shared" si="0"/>
        <v>2340</v>
      </c>
      <c r="H29" s="10">
        <f t="shared" si="2"/>
        <v>46800</v>
      </c>
      <c r="I29" s="10">
        <f t="shared" si="3"/>
        <v>30240</v>
      </c>
      <c r="J29" s="10">
        <f>IF(C29="","",IF(B29&lt;Annahmen!$B$5,FV(Annahmen!$B$41,12,-D29/12,-(C29+F29),1),C29))</f>
        <v>215138.02689668717</v>
      </c>
      <c r="K29" s="10">
        <f>IF(J29="","",J29/(1+Annahmen!$B$32)^26)</f>
        <v>128562.02825301381</v>
      </c>
      <c r="L29" s="10">
        <f t="shared" si="1"/>
        <v>138098.02689668717</v>
      </c>
    </row>
    <row r="30" spans="1:12" ht="14.25" customHeight="1" x14ac:dyDescent="0.3">
      <c r="A30" s="17">
        <f>Annahmen!$B$3+26</f>
        <v>2053</v>
      </c>
      <c r="B30" s="17">
        <f>Annahmen!$B$4+26</f>
        <v>66</v>
      </c>
      <c r="C30" s="10">
        <f>IF(B30&lt;=Annahmen!$B$5,J29,"")</f>
        <v>215138.02689668717</v>
      </c>
      <c r="D30" s="10">
        <f>IF(B30&lt;=Annahmen!$B$5,IF(B30&lt;Annahmen!$B$5,Annahmen!$B$7*12,0),"")</f>
        <v>1800</v>
      </c>
      <c r="E30" s="17">
        <f>IF(D30="","",SUMPRODUCT((Annahmen!$B$17:$B$22&lt;&gt;"")*((A30-Annahmen!$B$17:$B$22)&gt;=0)*((A30-Annahmen!$B$17:$B$22)&lt;25)))</f>
        <v>0</v>
      </c>
      <c r="F30" s="10">
        <f>IF(D30="","",Annahmen!$B$25+E30*MIN(Annahmen!$B$24,Annahmen!$B$13))</f>
        <v>540</v>
      </c>
      <c r="G30" s="10">
        <f t="shared" si="0"/>
        <v>2340</v>
      </c>
      <c r="H30" s="10">
        <f t="shared" si="2"/>
        <v>48600</v>
      </c>
      <c r="I30" s="10">
        <f t="shared" si="3"/>
        <v>30780</v>
      </c>
      <c r="J30" s="10">
        <f>IF(C30="","",IF(B30&lt;Annahmen!$B$5,FV(Annahmen!$B$41,12,-D30/12,-(C30+F30),1),C30))</f>
        <v>232101.44949241696</v>
      </c>
      <c r="K30" s="10">
        <f>IF(J30="","",J30/(1+Annahmen!$B$32)^27)</f>
        <v>135979.42960398729</v>
      </c>
      <c r="L30" s="10">
        <f t="shared" si="1"/>
        <v>152721.44949241696</v>
      </c>
    </row>
    <row r="31" spans="1:12" ht="14.25" customHeight="1" x14ac:dyDescent="0.3">
      <c r="A31" s="17">
        <f>Annahmen!$B$3+27</f>
        <v>2054</v>
      </c>
      <c r="B31" s="17">
        <f>Annahmen!$B$4+27</f>
        <v>67</v>
      </c>
      <c r="C31" s="10">
        <f>IF(B31&lt;=Annahmen!$B$5,J30,"")</f>
        <v>232101.44949241696</v>
      </c>
      <c r="D31" s="10">
        <f>IF(B31&lt;=Annahmen!$B$5,IF(B31&lt;Annahmen!$B$5,Annahmen!$B$7*12,0),"")</f>
        <v>1800</v>
      </c>
      <c r="E31" s="17">
        <f>IF(D31="","",SUMPRODUCT((Annahmen!$B$17:$B$22&lt;&gt;"")*((A31-Annahmen!$B$17:$B$22)&gt;=0)*((A31-Annahmen!$B$17:$B$22)&lt;25)))</f>
        <v>0</v>
      </c>
      <c r="F31" s="10">
        <f>IF(D31="","",Annahmen!$B$25+E31*MIN(Annahmen!$B$24,Annahmen!$B$13))</f>
        <v>540</v>
      </c>
      <c r="G31" s="10">
        <f t="shared" si="0"/>
        <v>2340</v>
      </c>
      <c r="H31" s="10">
        <f t="shared" si="2"/>
        <v>50400</v>
      </c>
      <c r="I31" s="10">
        <f t="shared" si="3"/>
        <v>31320</v>
      </c>
      <c r="J31" s="10">
        <f>IF(C31="","",IF(B31&lt;Annahmen!$B$5,FV(Annahmen!$B$41,12,-D31/12,-(C31+F31),1),C31))</f>
        <v>250209.90311335854</v>
      </c>
      <c r="K31" s="10">
        <f>IF(J31="","",J31/(1+Annahmen!$B$32)^28)</f>
        <v>143714.20123056162</v>
      </c>
      <c r="L31" s="10">
        <f t="shared" si="1"/>
        <v>168489.90311335854</v>
      </c>
    </row>
    <row r="32" spans="1:12" ht="14.25" customHeight="1" x14ac:dyDescent="0.3">
      <c r="A32" s="17">
        <f>Annahmen!$B$3+28</f>
        <v>2055</v>
      </c>
      <c r="B32" s="17">
        <f>Annahmen!$B$4+28</f>
        <v>68</v>
      </c>
      <c r="C32" s="10">
        <f>IF(B32&lt;=Annahmen!$B$5,J31,"")</f>
        <v>250209.90311335854</v>
      </c>
      <c r="D32" s="10">
        <f>IF(B32&lt;=Annahmen!$B$5,IF(B32&lt;Annahmen!$B$5,Annahmen!$B$7*12,0),"")</f>
        <v>1800</v>
      </c>
      <c r="E32" s="17">
        <f>IF(D32="","",SUMPRODUCT((Annahmen!$B$17:$B$22&lt;&gt;"")*((A32-Annahmen!$B$17:$B$22)&gt;=0)*((A32-Annahmen!$B$17:$B$22)&lt;25)))</f>
        <v>0</v>
      </c>
      <c r="F32" s="10">
        <f>IF(D32="","",Annahmen!$B$25+E32*MIN(Annahmen!$B$24,Annahmen!$B$13))</f>
        <v>540</v>
      </c>
      <c r="G32" s="10">
        <f t="shared" si="0"/>
        <v>2340</v>
      </c>
      <c r="H32" s="10">
        <f t="shared" si="2"/>
        <v>52200</v>
      </c>
      <c r="I32" s="10">
        <f t="shared" si="3"/>
        <v>31860</v>
      </c>
      <c r="J32" s="10">
        <f>IF(C32="","",IF(B32&lt;Annahmen!$B$5,FV(Annahmen!$B$41,12,-D32/12,-(C32+F32),1),C32))</f>
        <v>269540.67735371372</v>
      </c>
      <c r="K32" s="10">
        <f>IF(J32="","",J32/(1+Annahmen!$B$32)^29)</f>
        <v>151781.67259017064</v>
      </c>
      <c r="L32" s="10">
        <f t="shared" si="1"/>
        <v>185480.67735371372</v>
      </c>
    </row>
    <row r="33" spans="1:12" ht="14.25" customHeight="1" x14ac:dyDescent="0.3">
      <c r="A33" s="17">
        <f>Annahmen!$B$3+29</f>
        <v>2056</v>
      </c>
      <c r="B33" s="17">
        <f>Annahmen!$B$4+29</f>
        <v>69</v>
      </c>
      <c r="C33" s="10">
        <f>IF(B33&lt;=Annahmen!$B$5,J32,"")</f>
        <v>269540.67735371372</v>
      </c>
      <c r="D33" s="10">
        <f>IF(B33&lt;=Annahmen!$B$5,IF(B33&lt;Annahmen!$B$5,Annahmen!$B$7*12,0),"")</f>
        <v>1800</v>
      </c>
      <c r="E33" s="17">
        <f>IF(D33="","",SUMPRODUCT((Annahmen!$B$17:$B$22&lt;&gt;"")*((A33-Annahmen!$B$17:$B$22)&gt;=0)*((A33-Annahmen!$B$17:$B$22)&lt;25)))</f>
        <v>0</v>
      </c>
      <c r="F33" s="10">
        <f>IF(D33="","",Annahmen!$B$25+E33*MIN(Annahmen!$B$24,Annahmen!$B$13))</f>
        <v>540</v>
      </c>
      <c r="G33" s="10">
        <f t="shared" si="0"/>
        <v>2340</v>
      </c>
      <c r="H33" s="10">
        <f t="shared" si="2"/>
        <v>54000</v>
      </c>
      <c r="I33" s="10">
        <f t="shared" si="3"/>
        <v>32400</v>
      </c>
      <c r="J33" s="10">
        <f>IF(C33="","",IF(B33&lt;Annahmen!$B$5,FV(Annahmen!$B$41,12,-D33/12,-(C33+F33),1),C33))</f>
        <v>290176.27885529288</v>
      </c>
      <c r="K33" s="10">
        <f>IF(J33="","",J33/(1+Annahmen!$B$32)^30)</f>
        <v>160197.87622852437</v>
      </c>
      <c r="L33" s="10">
        <f t="shared" si="1"/>
        <v>203776.27885529288</v>
      </c>
    </row>
    <row r="34" spans="1:12" ht="14.25" customHeight="1" x14ac:dyDescent="0.3">
      <c r="A34" s="17">
        <f>Annahmen!$B$3+30</f>
        <v>2057</v>
      </c>
      <c r="B34" s="17">
        <f>Annahmen!$B$4+30</f>
        <v>70</v>
      </c>
      <c r="C34" s="10">
        <f>IF(B34&lt;=Annahmen!$B$5,J33,"")</f>
        <v>290176.27885529288</v>
      </c>
      <c r="D34" s="10">
        <f>IF(B34&lt;=Annahmen!$B$5,IF(B34&lt;Annahmen!$B$5,Annahmen!$B$7*12,0),"")</f>
        <v>0</v>
      </c>
      <c r="E34" s="17">
        <f>IF(D34="","",SUMPRODUCT((Annahmen!$B$17:$B$22&lt;&gt;"")*((A34-Annahmen!$B$17:$B$22)&gt;=0)*((A34-Annahmen!$B$17:$B$22)&lt;25)))</f>
        <v>0</v>
      </c>
      <c r="F34" s="10">
        <f>IF(D34="","",Annahmen!$B$25+E34*MIN(Annahmen!$B$24,Annahmen!$B$13))</f>
        <v>540</v>
      </c>
      <c r="G34" s="10">
        <f t="shared" si="0"/>
        <v>540</v>
      </c>
      <c r="H34" s="10">
        <f t="shared" si="2"/>
        <v>54000</v>
      </c>
      <c r="I34" s="10">
        <f t="shared" si="3"/>
        <v>32940</v>
      </c>
      <c r="J34" s="10">
        <f>IF(C34="","",IF(B34&lt;Annahmen!$B$5,FV(Annahmen!$B$41,12,-D34/12,-(C34+F34),1),C34))</f>
        <v>290176.27885529288</v>
      </c>
      <c r="K34" s="10">
        <f>IF(J34="","",J34/(1+Annahmen!$B$32)^31)</f>
        <v>157056.74140051415</v>
      </c>
      <c r="L34" s="10">
        <f t="shared" si="1"/>
        <v>203236.27885529288</v>
      </c>
    </row>
    <row r="35" spans="1:12" ht="14.25" customHeight="1" x14ac:dyDescent="0.3">
      <c r="A35" s="17">
        <f>Annahmen!$B$3+31</f>
        <v>2058</v>
      </c>
      <c r="B35" s="17">
        <f>Annahmen!$B$4+31</f>
        <v>71</v>
      </c>
      <c r="C35" s="10" t="str">
        <f>IF(B35&lt;=Annahmen!$B$5,J34,"")</f>
        <v/>
      </c>
      <c r="D35" s="10" t="str">
        <f>IF(B35&lt;=Annahmen!$B$5,IF(B35&lt;Annahmen!$B$5,Annahmen!$B$7*12,0),"")</f>
        <v/>
      </c>
      <c r="E35" s="17" t="str">
        <f>IF(D35="","",SUMPRODUCT((Annahmen!$B$17:$B$22&lt;&gt;"")*((A35-Annahmen!$B$17:$B$22)&gt;=0)*((A35-Annahmen!$B$17:$B$22)&lt;25)))</f>
        <v/>
      </c>
      <c r="F35" s="10" t="str">
        <f>IF(D35="","",Annahmen!$B$25+E35*MIN(Annahmen!$B$24,Annahmen!$B$13))</f>
        <v/>
      </c>
      <c r="G35" s="10" t="str">
        <f t="shared" si="0"/>
        <v/>
      </c>
      <c r="H35" s="10" t="str">
        <f t="shared" si="2"/>
        <v/>
      </c>
      <c r="I35" s="10" t="str">
        <f t="shared" si="3"/>
        <v/>
      </c>
      <c r="J35" s="10" t="str">
        <f>IF(C35="","",IF(B35&lt;Annahmen!$B$5,FV(Annahmen!$B$41,12,-D35/12,-(C35+F35),1),C35))</f>
        <v/>
      </c>
      <c r="K35" s="10" t="str">
        <f>IF(J35="","",J35/(1+Annahmen!$B$32)^32)</f>
        <v/>
      </c>
      <c r="L35" s="10" t="str">
        <f t="shared" si="1"/>
        <v/>
      </c>
    </row>
    <row r="36" spans="1:12" ht="14.25" customHeight="1" x14ac:dyDescent="0.3">
      <c r="A36" s="17">
        <f>Annahmen!$B$3+32</f>
        <v>2059</v>
      </c>
      <c r="B36" s="17">
        <f>Annahmen!$B$4+32</f>
        <v>72</v>
      </c>
      <c r="C36" s="10" t="str">
        <f>IF(B36&lt;=Annahmen!$B$5,J35,"")</f>
        <v/>
      </c>
      <c r="D36" s="10" t="str">
        <f>IF(B36&lt;=Annahmen!$B$5,IF(B36&lt;Annahmen!$B$5,Annahmen!$B$7*12,0),"")</f>
        <v/>
      </c>
      <c r="E36" s="17" t="str">
        <f>IF(D36="","",SUMPRODUCT((Annahmen!$B$17:$B$22&lt;&gt;"")*((A36-Annahmen!$B$17:$B$22)&gt;=0)*((A36-Annahmen!$B$17:$B$22)&lt;25)))</f>
        <v/>
      </c>
      <c r="F36" s="10" t="str">
        <f>IF(D36="","",Annahmen!$B$25+E36*MIN(Annahmen!$B$24,Annahmen!$B$13))</f>
        <v/>
      </c>
      <c r="G36" s="10" t="str">
        <f t="shared" ref="G36:G53" si="4">IF(D36="","",D36+F36)</f>
        <v/>
      </c>
      <c r="H36" s="10" t="str">
        <f t="shared" si="2"/>
        <v/>
      </c>
      <c r="I36" s="10" t="str">
        <f t="shared" si="3"/>
        <v/>
      </c>
      <c r="J36" s="10" t="str">
        <f>IF(C36="","",IF(B36&lt;Annahmen!$B$5,FV(Annahmen!$B$41,12,-D36/12,-(C36+F36),1),C36))</f>
        <v/>
      </c>
      <c r="K36" s="10" t="str">
        <f>IF(J36="","",J36/(1+Annahmen!$B$32)^33)</f>
        <v/>
      </c>
      <c r="L36" s="10" t="str">
        <f t="shared" ref="L36:L53" si="5">IF(J36="","",J36-H36-I36)</f>
        <v/>
      </c>
    </row>
    <row r="37" spans="1:12" ht="14.25" customHeight="1" x14ac:dyDescent="0.3">
      <c r="A37" s="17">
        <f>Annahmen!$B$3+33</f>
        <v>2060</v>
      </c>
      <c r="B37" s="17">
        <f>Annahmen!$B$4+33</f>
        <v>73</v>
      </c>
      <c r="C37" s="10" t="str">
        <f>IF(B37&lt;=Annahmen!$B$5,J36,"")</f>
        <v/>
      </c>
      <c r="D37" s="10" t="str">
        <f>IF(B37&lt;=Annahmen!$B$5,IF(B37&lt;Annahmen!$B$5,Annahmen!$B$7*12,0),"")</f>
        <v/>
      </c>
      <c r="E37" s="17" t="str">
        <f>IF(D37="","",SUMPRODUCT((Annahmen!$B$17:$B$22&lt;&gt;"")*((A37-Annahmen!$B$17:$B$22)&gt;=0)*((A37-Annahmen!$B$17:$B$22)&lt;25)))</f>
        <v/>
      </c>
      <c r="F37" s="10" t="str">
        <f>IF(D37="","",Annahmen!$B$25+E37*MIN(Annahmen!$B$24,Annahmen!$B$13))</f>
        <v/>
      </c>
      <c r="G37" s="10" t="str">
        <f t="shared" si="4"/>
        <v/>
      </c>
      <c r="H37" s="10" t="str">
        <f t="shared" ref="H37:H53" si="6">IF(D37="","",H36+D37)</f>
        <v/>
      </c>
      <c r="I37" s="10" t="str">
        <f t="shared" ref="I37:I53" si="7">IF(F37="","",I36+F37)</f>
        <v/>
      </c>
      <c r="J37" s="10" t="str">
        <f>IF(C37="","",IF(B37&lt;Annahmen!$B$5,FV(Annahmen!$B$41,12,-D37/12,-(C37+F37),1),C37))</f>
        <v/>
      </c>
      <c r="K37" s="10" t="str">
        <f>IF(J37="","",J37/(1+Annahmen!$B$32)^34)</f>
        <v/>
      </c>
      <c r="L37" s="10" t="str">
        <f t="shared" si="5"/>
        <v/>
      </c>
    </row>
    <row r="38" spans="1:12" ht="14.25" customHeight="1" x14ac:dyDescent="0.3">
      <c r="A38" s="17">
        <f>Annahmen!$B$3+34</f>
        <v>2061</v>
      </c>
      <c r="B38" s="17">
        <f>Annahmen!$B$4+34</f>
        <v>74</v>
      </c>
      <c r="C38" s="10" t="str">
        <f>IF(B38&lt;=Annahmen!$B$5,J37,"")</f>
        <v/>
      </c>
      <c r="D38" s="10" t="str">
        <f>IF(B38&lt;=Annahmen!$B$5,IF(B38&lt;Annahmen!$B$5,Annahmen!$B$7*12,0),"")</f>
        <v/>
      </c>
      <c r="E38" s="17" t="str">
        <f>IF(D38="","",SUMPRODUCT((Annahmen!$B$17:$B$22&lt;&gt;"")*((A38-Annahmen!$B$17:$B$22)&gt;=0)*((A38-Annahmen!$B$17:$B$22)&lt;25)))</f>
        <v/>
      </c>
      <c r="F38" s="10" t="str">
        <f>IF(D38="","",Annahmen!$B$25+E38*MIN(Annahmen!$B$24,Annahmen!$B$13))</f>
        <v/>
      </c>
      <c r="G38" s="10" t="str">
        <f t="shared" si="4"/>
        <v/>
      </c>
      <c r="H38" s="10" t="str">
        <f t="shared" si="6"/>
        <v/>
      </c>
      <c r="I38" s="10" t="str">
        <f t="shared" si="7"/>
        <v/>
      </c>
      <c r="J38" s="10" t="str">
        <f>IF(C38="","",IF(B38&lt;Annahmen!$B$5,FV(Annahmen!$B$41,12,-D38/12,-(C38+F38),1),C38))</f>
        <v/>
      </c>
      <c r="K38" s="10" t="str">
        <f>IF(J38="","",J38/(1+Annahmen!$B$32)^35)</f>
        <v/>
      </c>
      <c r="L38" s="10" t="str">
        <f t="shared" si="5"/>
        <v/>
      </c>
    </row>
    <row r="39" spans="1:12" ht="14.25" customHeight="1" x14ac:dyDescent="0.3">
      <c r="A39" s="17">
        <f>Annahmen!$B$3+35</f>
        <v>2062</v>
      </c>
      <c r="B39" s="17">
        <f>Annahmen!$B$4+35</f>
        <v>75</v>
      </c>
      <c r="C39" s="10" t="str">
        <f>IF(B39&lt;=Annahmen!$B$5,J38,"")</f>
        <v/>
      </c>
      <c r="D39" s="10" t="str">
        <f>IF(B39&lt;=Annahmen!$B$5,IF(B39&lt;Annahmen!$B$5,Annahmen!$B$7*12,0),"")</f>
        <v/>
      </c>
      <c r="E39" s="17" t="str">
        <f>IF(D39="","",SUMPRODUCT((Annahmen!$B$17:$B$22&lt;&gt;"")*((A39-Annahmen!$B$17:$B$22)&gt;=0)*((A39-Annahmen!$B$17:$B$22)&lt;25)))</f>
        <v/>
      </c>
      <c r="F39" s="10" t="str">
        <f>IF(D39="","",Annahmen!$B$25+E39*MIN(Annahmen!$B$24,Annahmen!$B$13))</f>
        <v/>
      </c>
      <c r="G39" s="10" t="str">
        <f t="shared" si="4"/>
        <v/>
      </c>
      <c r="H39" s="10" t="str">
        <f t="shared" si="6"/>
        <v/>
      </c>
      <c r="I39" s="10" t="str">
        <f t="shared" si="7"/>
        <v/>
      </c>
      <c r="J39" s="10" t="str">
        <f>IF(C39="","",IF(B39&lt;Annahmen!$B$5,FV(Annahmen!$B$41,12,-D39/12,-(C39+F39),1),C39))</f>
        <v/>
      </c>
      <c r="K39" s="10" t="str">
        <f>IF(J39="","",J39/(1+Annahmen!$B$32)^36)</f>
        <v/>
      </c>
      <c r="L39" s="10" t="str">
        <f t="shared" si="5"/>
        <v/>
      </c>
    </row>
    <row r="40" spans="1:12" ht="14.25" customHeight="1" x14ac:dyDescent="0.3">
      <c r="A40" s="17">
        <f>Annahmen!$B$3+36</f>
        <v>2063</v>
      </c>
      <c r="B40" s="17">
        <f>Annahmen!$B$4+36</f>
        <v>76</v>
      </c>
      <c r="C40" s="10" t="str">
        <f>IF(B40&lt;=Annahmen!$B$5,J39,"")</f>
        <v/>
      </c>
      <c r="D40" s="10" t="str">
        <f>IF(B40&lt;=Annahmen!$B$5,IF(B40&lt;Annahmen!$B$5,Annahmen!$B$7*12,0),"")</f>
        <v/>
      </c>
      <c r="E40" s="17" t="str">
        <f>IF(D40="","",SUMPRODUCT((Annahmen!$B$17:$B$22&lt;&gt;"")*((A40-Annahmen!$B$17:$B$22)&gt;=0)*((A40-Annahmen!$B$17:$B$22)&lt;25)))</f>
        <v/>
      </c>
      <c r="F40" s="10" t="str">
        <f>IF(D40="","",Annahmen!$B$25+E40*MIN(Annahmen!$B$24,Annahmen!$B$13))</f>
        <v/>
      </c>
      <c r="G40" s="10" t="str">
        <f t="shared" si="4"/>
        <v/>
      </c>
      <c r="H40" s="10" t="str">
        <f t="shared" si="6"/>
        <v/>
      </c>
      <c r="I40" s="10" t="str">
        <f t="shared" si="7"/>
        <v/>
      </c>
      <c r="J40" s="10" t="str">
        <f>IF(C40="","",IF(B40&lt;Annahmen!$B$5,FV(Annahmen!$B$41,12,-D40/12,-(C40+F40),1),C40))</f>
        <v/>
      </c>
      <c r="K40" s="10" t="str">
        <f>IF(J40="","",J40/(1+Annahmen!$B$32)^37)</f>
        <v/>
      </c>
      <c r="L40" s="10" t="str">
        <f t="shared" si="5"/>
        <v/>
      </c>
    </row>
    <row r="41" spans="1:12" ht="14.25" customHeight="1" x14ac:dyDescent="0.3">
      <c r="A41" s="17">
        <f>Annahmen!$B$3+37</f>
        <v>2064</v>
      </c>
      <c r="B41" s="17">
        <f>Annahmen!$B$4+37</f>
        <v>77</v>
      </c>
      <c r="C41" s="10" t="str">
        <f>IF(B41&lt;=Annahmen!$B$5,J40,"")</f>
        <v/>
      </c>
      <c r="D41" s="10" t="str">
        <f>IF(B41&lt;=Annahmen!$B$5,IF(B41&lt;Annahmen!$B$5,Annahmen!$B$7*12,0),"")</f>
        <v/>
      </c>
      <c r="E41" s="17" t="str">
        <f>IF(D41="","",SUMPRODUCT((Annahmen!$B$17:$B$22&lt;&gt;"")*((A41-Annahmen!$B$17:$B$22)&gt;=0)*((A41-Annahmen!$B$17:$B$22)&lt;25)))</f>
        <v/>
      </c>
      <c r="F41" s="10" t="str">
        <f>IF(D41="","",Annahmen!$B$25+E41*MIN(Annahmen!$B$24,Annahmen!$B$13))</f>
        <v/>
      </c>
      <c r="G41" s="10" t="str">
        <f t="shared" si="4"/>
        <v/>
      </c>
      <c r="H41" s="10" t="str">
        <f t="shared" si="6"/>
        <v/>
      </c>
      <c r="I41" s="10" t="str">
        <f t="shared" si="7"/>
        <v/>
      </c>
      <c r="J41" s="10" t="str">
        <f>IF(C41="","",IF(B41&lt;Annahmen!$B$5,FV(Annahmen!$B$41,12,-D41/12,-(C41+F41),1),C41))</f>
        <v/>
      </c>
      <c r="K41" s="10" t="str">
        <f>IF(J41="","",J41/(1+Annahmen!$B$32)^38)</f>
        <v/>
      </c>
      <c r="L41" s="10" t="str">
        <f t="shared" si="5"/>
        <v/>
      </c>
    </row>
    <row r="42" spans="1:12" ht="14.25" customHeight="1" x14ac:dyDescent="0.3">
      <c r="A42" s="17">
        <f>Annahmen!$B$3+38</f>
        <v>2065</v>
      </c>
      <c r="B42" s="17">
        <f>Annahmen!$B$4+38</f>
        <v>78</v>
      </c>
      <c r="C42" s="10" t="str">
        <f>IF(B42&lt;=Annahmen!$B$5,J41,"")</f>
        <v/>
      </c>
      <c r="D42" s="10" t="str">
        <f>IF(B42&lt;=Annahmen!$B$5,IF(B42&lt;Annahmen!$B$5,Annahmen!$B$7*12,0),"")</f>
        <v/>
      </c>
      <c r="E42" s="17" t="str">
        <f>IF(D42="","",SUMPRODUCT((Annahmen!$B$17:$B$22&lt;&gt;"")*((A42-Annahmen!$B$17:$B$22)&gt;=0)*((A42-Annahmen!$B$17:$B$22)&lt;25)))</f>
        <v/>
      </c>
      <c r="F42" s="10" t="str">
        <f>IF(D42="","",Annahmen!$B$25+E42*MIN(Annahmen!$B$24,Annahmen!$B$13))</f>
        <v/>
      </c>
      <c r="G42" s="10" t="str">
        <f t="shared" si="4"/>
        <v/>
      </c>
      <c r="H42" s="10" t="str">
        <f t="shared" si="6"/>
        <v/>
      </c>
      <c r="I42" s="10" t="str">
        <f t="shared" si="7"/>
        <v/>
      </c>
      <c r="J42" s="10" t="str">
        <f>IF(C42="","",IF(B42&lt;Annahmen!$B$5,FV(Annahmen!$B$41,12,-D42/12,-(C42+F42),1),C42))</f>
        <v/>
      </c>
      <c r="K42" s="10" t="str">
        <f>IF(J42="","",J42/(1+Annahmen!$B$32)^39)</f>
        <v/>
      </c>
      <c r="L42" s="10" t="str">
        <f t="shared" si="5"/>
        <v/>
      </c>
    </row>
    <row r="43" spans="1:12" ht="14.25" customHeight="1" x14ac:dyDescent="0.3">
      <c r="A43" s="17">
        <f>Annahmen!$B$3+39</f>
        <v>2066</v>
      </c>
      <c r="B43" s="17">
        <f>Annahmen!$B$4+39</f>
        <v>79</v>
      </c>
      <c r="C43" s="10" t="str">
        <f>IF(B43&lt;=Annahmen!$B$5,J42,"")</f>
        <v/>
      </c>
      <c r="D43" s="10" t="str">
        <f>IF(B43&lt;=Annahmen!$B$5,IF(B43&lt;Annahmen!$B$5,Annahmen!$B$7*12,0),"")</f>
        <v/>
      </c>
      <c r="E43" s="17" t="str">
        <f>IF(D43="","",SUMPRODUCT((Annahmen!$B$17:$B$22&lt;&gt;"")*((A43-Annahmen!$B$17:$B$22)&gt;=0)*((A43-Annahmen!$B$17:$B$22)&lt;25)))</f>
        <v/>
      </c>
      <c r="F43" s="10" t="str">
        <f>IF(D43="","",Annahmen!$B$25+E43*MIN(Annahmen!$B$24,Annahmen!$B$13))</f>
        <v/>
      </c>
      <c r="G43" s="10" t="str">
        <f t="shared" si="4"/>
        <v/>
      </c>
      <c r="H43" s="10" t="str">
        <f t="shared" si="6"/>
        <v/>
      </c>
      <c r="I43" s="10" t="str">
        <f t="shared" si="7"/>
        <v/>
      </c>
      <c r="J43" s="10" t="str">
        <f>IF(C43="","",IF(B43&lt;Annahmen!$B$5,FV(Annahmen!$B$41,12,-D43/12,-(C43+F43),1),C43))</f>
        <v/>
      </c>
      <c r="K43" s="10" t="str">
        <f>IF(J43="","",J43/(1+Annahmen!$B$32)^40)</f>
        <v/>
      </c>
      <c r="L43" s="10" t="str">
        <f t="shared" si="5"/>
        <v/>
      </c>
    </row>
    <row r="44" spans="1:12" ht="14.25" customHeight="1" x14ac:dyDescent="0.3">
      <c r="A44" s="17">
        <f>Annahmen!$B$3+40</f>
        <v>2067</v>
      </c>
      <c r="B44" s="17">
        <f>Annahmen!$B$4+40</f>
        <v>80</v>
      </c>
      <c r="C44" s="10" t="str">
        <f>IF(B44&lt;=Annahmen!$B$5,J43,"")</f>
        <v/>
      </c>
      <c r="D44" s="10" t="str">
        <f>IF(B44&lt;=Annahmen!$B$5,IF(B44&lt;Annahmen!$B$5,Annahmen!$B$7*12,0),"")</f>
        <v/>
      </c>
      <c r="E44" s="17" t="str">
        <f>IF(D44="","",SUMPRODUCT((Annahmen!$B$17:$B$22&lt;&gt;"")*((A44-Annahmen!$B$17:$B$22)&gt;=0)*((A44-Annahmen!$B$17:$B$22)&lt;25)))</f>
        <v/>
      </c>
      <c r="F44" s="10" t="str">
        <f>IF(D44="","",Annahmen!$B$25+E44*MIN(Annahmen!$B$24,Annahmen!$B$13))</f>
        <v/>
      </c>
      <c r="G44" s="10" t="str">
        <f t="shared" si="4"/>
        <v/>
      </c>
      <c r="H44" s="10" t="str">
        <f t="shared" si="6"/>
        <v/>
      </c>
      <c r="I44" s="10" t="str">
        <f t="shared" si="7"/>
        <v/>
      </c>
      <c r="J44" s="10" t="str">
        <f>IF(C44="","",IF(B44&lt;Annahmen!$B$5,FV(Annahmen!$B$41,12,-D44/12,-(C44+F44),1),C44))</f>
        <v/>
      </c>
      <c r="K44" s="10" t="str">
        <f>IF(J44="","",J44/(1+Annahmen!$B$32)^41)</f>
        <v/>
      </c>
      <c r="L44" s="10" t="str">
        <f t="shared" si="5"/>
        <v/>
      </c>
    </row>
    <row r="45" spans="1:12" ht="14.25" customHeight="1" x14ac:dyDescent="0.3">
      <c r="A45" s="17">
        <f>Annahmen!$B$3+41</f>
        <v>2068</v>
      </c>
      <c r="B45" s="17">
        <f>Annahmen!$B$4+41</f>
        <v>81</v>
      </c>
      <c r="C45" s="10" t="str">
        <f>IF(B45&lt;=Annahmen!$B$5,J44,"")</f>
        <v/>
      </c>
      <c r="D45" s="10" t="str">
        <f>IF(B45&lt;=Annahmen!$B$5,IF(B45&lt;Annahmen!$B$5,Annahmen!$B$7*12,0),"")</f>
        <v/>
      </c>
      <c r="E45" s="17" t="str">
        <f>IF(D45="","",SUMPRODUCT((Annahmen!$B$17:$B$22&lt;&gt;"")*((A45-Annahmen!$B$17:$B$22)&gt;=0)*((A45-Annahmen!$B$17:$B$22)&lt;25)))</f>
        <v/>
      </c>
      <c r="F45" s="10" t="str">
        <f>IF(D45="","",Annahmen!$B$25+E45*MIN(Annahmen!$B$24,Annahmen!$B$13))</f>
        <v/>
      </c>
      <c r="G45" s="10" t="str">
        <f t="shared" si="4"/>
        <v/>
      </c>
      <c r="H45" s="10" t="str">
        <f t="shared" si="6"/>
        <v/>
      </c>
      <c r="I45" s="10" t="str">
        <f t="shared" si="7"/>
        <v/>
      </c>
      <c r="J45" s="10" t="str">
        <f>IF(C45="","",IF(B45&lt;Annahmen!$B$5,FV(Annahmen!$B$41,12,-D45/12,-(C45+F45),1),C45))</f>
        <v/>
      </c>
      <c r="K45" s="10" t="str">
        <f>IF(J45="","",J45/(1+Annahmen!$B$32)^42)</f>
        <v/>
      </c>
      <c r="L45" s="10" t="str">
        <f t="shared" si="5"/>
        <v/>
      </c>
    </row>
    <row r="46" spans="1:12" ht="14.25" customHeight="1" x14ac:dyDescent="0.3">
      <c r="A46" s="17">
        <f>Annahmen!$B$3+42</f>
        <v>2069</v>
      </c>
      <c r="B46" s="17">
        <f>Annahmen!$B$4+42</f>
        <v>82</v>
      </c>
      <c r="C46" s="10" t="str">
        <f>IF(B46&lt;=Annahmen!$B$5,J45,"")</f>
        <v/>
      </c>
      <c r="D46" s="10" t="str">
        <f>IF(B46&lt;=Annahmen!$B$5,IF(B46&lt;Annahmen!$B$5,Annahmen!$B$7*12,0),"")</f>
        <v/>
      </c>
      <c r="E46" s="17" t="str">
        <f>IF(D46="","",SUMPRODUCT((Annahmen!$B$17:$B$22&lt;&gt;"")*((A46-Annahmen!$B$17:$B$22)&gt;=0)*((A46-Annahmen!$B$17:$B$22)&lt;25)))</f>
        <v/>
      </c>
      <c r="F46" s="10" t="str">
        <f>IF(D46="","",Annahmen!$B$25+E46*MIN(Annahmen!$B$24,Annahmen!$B$13))</f>
        <v/>
      </c>
      <c r="G46" s="10" t="str">
        <f t="shared" si="4"/>
        <v/>
      </c>
      <c r="H46" s="10" t="str">
        <f t="shared" si="6"/>
        <v/>
      </c>
      <c r="I46" s="10" t="str">
        <f t="shared" si="7"/>
        <v/>
      </c>
      <c r="J46" s="10" t="str">
        <f>IF(C46="","",IF(B46&lt;Annahmen!$B$5,FV(Annahmen!$B$41,12,-D46/12,-(C46+F46),1),C46))</f>
        <v/>
      </c>
      <c r="K46" s="10" t="str">
        <f>IF(J46="","",J46/(1+Annahmen!$B$32)^43)</f>
        <v/>
      </c>
      <c r="L46" s="10" t="str">
        <f t="shared" si="5"/>
        <v/>
      </c>
    </row>
    <row r="47" spans="1:12" ht="14.25" customHeight="1" x14ac:dyDescent="0.3">
      <c r="A47" s="17">
        <f>Annahmen!$B$3+43</f>
        <v>2070</v>
      </c>
      <c r="B47" s="17">
        <f>Annahmen!$B$4+43</f>
        <v>83</v>
      </c>
      <c r="C47" s="10" t="str">
        <f>IF(B47&lt;=Annahmen!$B$5,J46,"")</f>
        <v/>
      </c>
      <c r="D47" s="10" t="str">
        <f>IF(B47&lt;=Annahmen!$B$5,IF(B47&lt;Annahmen!$B$5,Annahmen!$B$7*12,0),"")</f>
        <v/>
      </c>
      <c r="E47" s="17" t="str">
        <f>IF(D47="","",SUMPRODUCT((Annahmen!$B$17:$B$22&lt;&gt;"")*((A47-Annahmen!$B$17:$B$22)&gt;=0)*((A47-Annahmen!$B$17:$B$22)&lt;25)))</f>
        <v/>
      </c>
      <c r="F47" s="10" t="str">
        <f>IF(D47="","",Annahmen!$B$25+E47*MIN(Annahmen!$B$24,Annahmen!$B$13))</f>
        <v/>
      </c>
      <c r="G47" s="10" t="str">
        <f t="shared" si="4"/>
        <v/>
      </c>
      <c r="H47" s="10" t="str">
        <f t="shared" si="6"/>
        <v/>
      </c>
      <c r="I47" s="10" t="str">
        <f t="shared" si="7"/>
        <v/>
      </c>
      <c r="J47" s="10" t="str">
        <f>IF(C47="","",IF(B47&lt;Annahmen!$B$5,FV(Annahmen!$B$41,12,-D47/12,-(C47+F47),1),C47))</f>
        <v/>
      </c>
      <c r="K47" s="10" t="str">
        <f>IF(J47="","",J47/(1+Annahmen!$B$32)^44)</f>
        <v/>
      </c>
      <c r="L47" s="10" t="str">
        <f t="shared" si="5"/>
        <v/>
      </c>
    </row>
    <row r="48" spans="1:12" ht="14.25" customHeight="1" x14ac:dyDescent="0.3">
      <c r="A48" s="17">
        <f>Annahmen!$B$3+44</f>
        <v>2071</v>
      </c>
      <c r="B48" s="17">
        <f>Annahmen!$B$4+44</f>
        <v>84</v>
      </c>
      <c r="C48" s="10" t="str">
        <f>IF(B48&lt;=Annahmen!$B$5,J47,"")</f>
        <v/>
      </c>
      <c r="D48" s="10" t="str">
        <f>IF(B48&lt;=Annahmen!$B$5,IF(B48&lt;Annahmen!$B$5,Annahmen!$B$7*12,0),"")</f>
        <v/>
      </c>
      <c r="E48" s="17" t="str">
        <f>IF(D48="","",SUMPRODUCT((Annahmen!$B$17:$B$22&lt;&gt;"")*((A48-Annahmen!$B$17:$B$22)&gt;=0)*((A48-Annahmen!$B$17:$B$22)&lt;25)))</f>
        <v/>
      </c>
      <c r="F48" s="10" t="str">
        <f>IF(D48="","",Annahmen!$B$25+E48*MIN(Annahmen!$B$24,Annahmen!$B$13))</f>
        <v/>
      </c>
      <c r="G48" s="10" t="str">
        <f t="shared" si="4"/>
        <v/>
      </c>
      <c r="H48" s="10" t="str">
        <f t="shared" si="6"/>
        <v/>
      </c>
      <c r="I48" s="10" t="str">
        <f t="shared" si="7"/>
        <v/>
      </c>
      <c r="J48" s="10" t="str">
        <f>IF(C48="","",IF(B48&lt;Annahmen!$B$5,FV(Annahmen!$B$41,12,-D48/12,-(C48+F48),1),C48))</f>
        <v/>
      </c>
      <c r="K48" s="10" t="str">
        <f>IF(J48="","",J48/(1+Annahmen!$B$32)^45)</f>
        <v/>
      </c>
      <c r="L48" s="10" t="str">
        <f t="shared" si="5"/>
        <v/>
      </c>
    </row>
    <row r="49" spans="1:12" ht="14.25" customHeight="1" x14ac:dyDescent="0.3">
      <c r="A49" s="17">
        <f>Annahmen!$B$3+45</f>
        <v>2072</v>
      </c>
      <c r="B49" s="17">
        <f>Annahmen!$B$4+45</f>
        <v>85</v>
      </c>
      <c r="C49" s="10" t="str">
        <f>IF(B49&lt;=Annahmen!$B$5,J48,"")</f>
        <v/>
      </c>
      <c r="D49" s="10" t="str">
        <f>IF(B49&lt;=Annahmen!$B$5,IF(B49&lt;Annahmen!$B$5,Annahmen!$B$7*12,0),"")</f>
        <v/>
      </c>
      <c r="E49" s="17" t="str">
        <f>IF(D49="","",SUMPRODUCT((Annahmen!$B$17:$B$22&lt;&gt;"")*((A49-Annahmen!$B$17:$B$22)&gt;=0)*((A49-Annahmen!$B$17:$B$22)&lt;25)))</f>
        <v/>
      </c>
      <c r="F49" s="10" t="str">
        <f>IF(D49="","",Annahmen!$B$25+E49*MIN(Annahmen!$B$24,Annahmen!$B$13))</f>
        <v/>
      </c>
      <c r="G49" s="10" t="str">
        <f t="shared" si="4"/>
        <v/>
      </c>
      <c r="H49" s="10" t="str">
        <f t="shared" si="6"/>
        <v/>
      </c>
      <c r="I49" s="10" t="str">
        <f t="shared" si="7"/>
        <v/>
      </c>
      <c r="J49" s="10" t="str">
        <f>IF(C49="","",IF(B49&lt;Annahmen!$B$5,FV(Annahmen!$B$41,12,-D49/12,-(C49+F49),1),C49))</f>
        <v/>
      </c>
      <c r="K49" s="10" t="str">
        <f>IF(J49="","",J49/(1+Annahmen!$B$32)^46)</f>
        <v/>
      </c>
      <c r="L49" s="10" t="str">
        <f t="shared" si="5"/>
        <v/>
      </c>
    </row>
    <row r="50" spans="1:12" ht="14.25" customHeight="1" x14ac:dyDescent="0.3">
      <c r="A50" s="17">
        <f>Annahmen!$B$3+46</f>
        <v>2073</v>
      </c>
      <c r="B50" s="17">
        <f>Annahmen!$B$4+46</f>
        <v>86</v>
      </c>
      <c r="C50" s="10" t="str">
        <f>IF(B50&lt;=Annahmen!$B$5,J49,"")</f>
        <v/>
      </c>
      <c r="D50" s="10" t="str">
        <f>IF(B50&lt;=Annahmen!$B$5,IF(B50&lt;Annahmen!$B$5,Annahmen!$B$7*12,0),"")</f>
        <v/>
      </c>
      <c r="E50" s="17" t="str">
        <f>IF(D50="","",SUMPRODUCT((Annahmen!$B$17:$B$22&lt;&gt;"")*((A50-Annahmen!$B$17:$B$22)&gt;=0)*((A50-Annahmen!$B$17:$B$22)&lt;25)))</f>
        <v/>
      </c>
      <c r="F50" s="10" t="str">
        <f>IF(D50="","",Annahmen!$B$25+E50*MIN(Annahmen!$B$24,Annahmen!$B$13))</f>
        <v/>
      </c>
      <c r="G50" s="10" t="str">
        <f t="shared" si="4"/>
        <v/>
      </c>
      <c r="H50" s="10" t="str">
        <f t="shared" si="6"/>
        <v/>
      </c>
      <c r="I50" s="10" t="str">
        <f t="shared" si="7"/>
        <v/>
      </c>
      <c r="J50" s="10" t="str">
        <f>IF(C50="","",IF(B50&lt;Annahmen!$B$5,FV(Annahmen!$B$41,12,-D50/12,-(C50+F50),1),C50))</f>
        <v/>
      </c>
      <c r="K50" s="10" t="str">
        <f>IF(J50="","",J50/(1+Annahmen!$B$32)^47)</f>
        <v/>
      </c>
      <c r="L50" s="10" t="str">
        <f t="shared" si="5"/>
        <v/>
      </c>
    </row>
    <row r="51" spans="1:12" ht="14.25" customHeight="1" x14ac:dyDescent="0.3">
      <c r="A51" s="17">
        <f>Annahmen!$B$3+47</f>
        <v>2074</v>
      </c>
      <c r="B51" s="17">
        <f>Annahmen!$B$4+47</f>
        <v>87</v>
      </c>
      <c r="C51" s="10" t="str">
        <f>IF(B51&lt;=Annahmen!$B$5,J50,"")</f>
        <v/>
      </c>
      <c r="D51" s="10" t="str">
        <f>IF(B51&lt;=Annahmen!$B$5,IF(B51&lt;Annahmen!$B$5,Annahmen!$B$7*12,0),"")</f>
        <v/>
      </c>
      <c r="E51" s="17" t="str">
        <f>IF(D51="","",SUMPRODUCT((Annahmen!$B$17:$B$22&lt;&gt;"")*((A51-Annahmen!$B$17:$B$22)&gt;=0)*((A51-Annahmen!$B$17:$B$22)&lt;25)))</f>
        <v/>
      </c>
      <c r="F51" s="10" t="str">
        <f>IF(D51="","",Annahmen!$B$25+E51*MIN(Annahmen!$B$24,Annahmen!$B$13))</f>
        <v/>
      </c>
      <c r="G51" s="10" t="str">
        <f t="shared" si="4"/>
        <v/>
      </c>
      <c r="H51" s="10" t="str">
        <f t="shared" si="6"/>
        <v/>
      </c>
      <c r="I51" s="10" t="str">
        <f t="shared" si="7"/>
        <v/>
      </c>
      <c r="J51" s="10" t="str">
        <f>IF(C51="","",IF(B51&lt;Annahmen!$B$5,FV(Annahmen!$B$41,12,-D51/12,-(C51+F51),1),C51))</f>
        <v/>
      </c>
      <c r="K51" s="10" t="str">
        <f>IF(J51="","",J51/(1+Annahmen!$B$32)^48)</f>
        <v/>
      </c>
      <c r="L51" s="10" t="str">
        <f t="shared" si="5"/>
        <v/>
      </c>
    </row>
    <row r="52" spans="1:12" ht="14.25" customHeight="1" x14ac:dyDescent="0.3">
      <c r="A52" s="17">
        <f>Annahmen!$B$3+48</f>
        <v>2075</v>
      </c>
      <c r="B52" s="17">
        <f>Annahmen!$B$4+48</f>
        <v>88</v>
      </c>
      <c r="C52" s="10" t="str">
        <f>IF(B52&lt;=Annahmen!$B$5,J51,"")</f>
        <v/>
      </c>
      <c r="D52" s="10" t="str">
        <f>IF(B52&lt;=Annahmen!$B$5,IF(B52&lt;Annahmen!$B$5,Annahmen!$B$7*12,0),"")</f>
        <v/>
      </c>
      <c r="E52" s="17" t="str">
        <f>IF(D52="","",SUMPRODUCT((Annahmen!$B$17:$B$22&lt;&gt;"")*((A52-Annahmen!$B$17:$B$22)&gt;=0)*((A52-Annahmen!$B$17:$B$22)&lt;25)))</f>
        <v/>
      </c>
      <c r="F52" s="10" t="str">
        <f>IF(D52="","",Annahmen!$B$25+E52*MIN(Annahmen!$B$24,Annahmen!$B$13))</f>
        <v/>
      </c>
      <c r="G52" s="10" t="str">
        <f t="shared" si="4"/>
        <v/>
      </c>
      <c r="H52" s="10" t="str">
        <f t="shared" si="6"/>
        <v/>
      </c>
      <c r="I52" s="10" t="str">
        <f t="shared" si="7"/>
        <v/>
      </c>
      <c r="J52" s="10" t="str">
        <f>IF(C52="","",IF(B52&lt;Annahmen!$B$5,FV(Annahmen!$B$41,12,-D52/12,-(C52+F52),1),C52))</f>
        <v/>
      </c>
      <c r="K52" s="10" t="str">
        <f>IF(J52="","",J52/(1+Annahmen!$B$32)^49)</f>
        <v/>
      </c>
      <c r="L52" s="10" t="str">
        <f t="shared" si="5"/>
        <v/>
      </c>
    </row>
    <row r="53" spans="1:12" ht="14.25" customHeight="1" x14ac:dyDescent="0.3">
      <c r="A53" s="17">
        <f>Annahmen!$B$3+49</f>
        <v>2076</v>
      </c>
      <c r="B53" s="17">
        <f>Annahmen!$B$4+49</f>
        <v>89</v>
      </c>
      <c r="C53" s="10" t="str">
        <f>IF(B53&lt;=Annahmen!$B$5,J52,"")</f>
        <v/>
      </c>
      <c r="D53" s="10" t="str">
        <f>IF(B53&lt;=Annahmen!$B$5,IF(B53&lt;Annahmen!$B$5,Annahmen!$B$7*12,0),"")</f>
        <v/>
      </c>
      <c r="E53" s="17" t="str">
        <f>IF(D53="","",SUMPRODUCT((Annahmen!$B$17:$B$22&lt;&gt;"")*((A53-Annahmen!$B$17:$B$22)&gt;=0)*((A53-Annahmen!$B$17:$B$22)&lt;25)))</f>
        <v/>
      </c>
      <c r="F53" s="10" t="str">
        <f>IF(D53="","",Annahmen!$B$25+E53*MIN(Annahmen!$B$24,Annahmen!$B$13))</f>
        <v/>
      </c>
      <c r="G53" s="10" t="str">
        <f t="shared" si="4"/>
        <v/>
      </c>
      <c r="H53" s="10" t="str">
        <f t="shared" si="6"/>
        <v/>
      </c>
      <c r="I53" s="10" t="str">
        <f t="shared" si="7"/>
        <v/>
      </c>
      <c r="J53" s="10" t="str">
        <f>IF(C53="","",IF(B53&lt;Annahmen!$B$5,FV(Annahmen!$B$41,12,-D53/12,-(C53+F53),1),C53))</f>
        <v/>
      </c>
      <c r="K53" s="10" t="str">
        <f>IF(J53="","",J53/(1+Annahmen!$B$32)^50)</f>
        <v/>
      </c>
      <c r="L53" s="10" t="str">
        <f t="shared" si="5"/>
        <v/>
      </c>
    </row>
    <row r="55" spans="1:12" ht="17.25" customHeight="1" x14ac:dyDescent="0.3">
      <c r="A55" s="25" t="s">
        <v>87</v>
      </c>
      <c r="B55" s="24"/>
      <c r="C55" s="24"/>
      <c r="D55" s="24"/>
      <c r="E55" s="24"/>
      <c r="F55" s="24"/>
      <c r="G55" s="24"/>
      <c r="H55" s="24"/>
      <c r="I55" s="24"/>
      <c r="J55" s="24"/>
      <c r="K55" s="24"/>
      <c r="L55" s="24"/>
    </row>
    <row r="56" spans="1:12" ht="14.25" customHeight="1" x14ac:dyDescent="0.3">
      <c r="A56" s="27" t="s">
        <v>88</v>
      </c>
      <c r="B56" s="28"/>
      <c r="C56" s="28"/>
      <c r="D56" s="28"/>
      <c r="E56" s="28"/>
      <c r="F56" s="28"/>
      <c r="G56" s="28"/>
      <c r="H56" s="28"/>
      <c r="I56" s="29"/>
      <c r="J56" s="18">
        <f>INDEX(H4:H53,MATCH(Annahmen!$B$5,B4:B53,0))</f>
        <v>54000</v>
      </c>
    </row>
    <row r="57" spans="1:12" ht="14.25" customHeight="1" x14ac:dyDescent="0.3">
      <c r="A57" s="27" t="s">
        <v>89</v>
      </c>
      <c r="B57" s="28"/>
      <c r="C57" s="28"/>
      <c r="D57" s="28"/>
      <c r="E57" s="28"/>
      <c r="F57" s="28"/>
      <c r="G57" s="28"/>
      <c r="H57" s="28"/>
      <c r="I57" s="29"/>
      <c r="J57" s="18">
        <f>INDEX(I4:I53,MATCH(Annahmen!$B$5,B4:B53,0))</f>
        <v>32940</v>
      </c>
    </row>
    <row r="58" spans="1:12" ht="14.25" customHeight="1" x14ac:dyDescent="0.3">
      <c r="A58" s="27" t="s">
        <v>90</v>
      </c>
      <c r="B58" s="28"/>
      <c r="C58" s="28"/>
      <c r="D58" s="28"/>
      <c r="E58" s="28"/>
      <c r="F58" s="28"/>
      <c r="G58" s="28"/>
      <c r="H58" s="28"/>
      <c r="I58" s="29"/>
      <c r="J58" s="18">
        <f>INDEX(J4:J53,MATCH(Annahmen!$B$5,B4:B53,0))</f>
        <v>290176.27885529288</v>
      </c>
    </row>
    <row r="59" spans="1:12" ht="14.25" customHeight="1" x14ac:dyDescent="0.3">
      <c r="A59" s="27" t="s">
        <v>91</v>
      </c>
      <c r="B59" s="28"/>
      <c r="C59" s="28"/>
      <c r="D59" s="28"/>
      <c r="E59" s="28"/>
      <c r="F59" s="28"/>
      <c r="G59" s="28"/>
      <c r="H59" s="28"/>
      <c r="I59" s="29"/>
      <c r="J59" s="18">
        <f>INDEX(K4:K53,MATCH(Annahmen!$B$5,B4:B53,0))</f>
        <v>157056.74140051415</v>
      </c>
    </row>
    <row r="60" spans="1:12" ht="14.25" customHeight="1" x14ac:dyDescent="0.3">
      <c r="A60" s="27" t="s">
        <v>92</v>
      </c>
      <c r="B60" s="28"/>
      <c r="C60" s="28"/>
      <c r="D60" s="28"/>
      <c r="E60" s="28"/>
      <c r="F60" s="28"/>
      <c r="G60" s="28"/>
      <c r="H60" s="28"/>
      <c r="I60" s="29"/>
      <c r="J60" s="18">
        <f>INDEX(L4:L53,MATCH(Annahmen!$B$5,B4:B53,0))</f>
        <v>203236.27885529288</v>
      </c>
    </row>
    <row r="62" spans="1:12" ht="39.75" customHeight="1" x14ac:dyDescent="0.3">
      <c r="A62" s="26" t="s">
        <v>93</v>
      </c>
      <c r="B62" s="24"/>
      <c r="C62" s="24"/>
      <c r="D62" s="24"/>
      <c r="E62" s="24"/>
      <c r="F62" s="24"/>
      <c r="G62" s="24"/>
      <c r="H62" s="24"/>
      <c r="I62" s="24"/>
      <c r="J62" s="24"/>
      <c r="K62" s="24"/>
      <c r="L62" s="24"/>
    </row>
  </sheetData>
  <mergeCells count="8">
    <mergeCell ref="A62:L62"/>
    <mergeCell ref="A59:I59"/>
    <mergeCell ref="A57:I57"/>
    <mergeCell ref="A60:I60"/>
    <mergeCell ref="A1:L1"/>
    <mergeCell ref="A56:I56"/>
    <mergeCell ref="A58:I58"/>
    <mergeCell ref="A55:L55"/>
  </mergeCells>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1"/>
  <sheetViews>
    <sheetView showGridLines="0" zoomScaleNormal="100" workbookViewId="0">
      <pane ySplit="4" topLeftCell="A5" activePane="bottomLeft" state="frozen"/>
      <selection pane="bottomLeft" activeCell="G5" sqref="G5"/>
    </sheetView>
  </sheetViews>
  <sheetFormatPr baseColWidth="10" defaultColWidth="8.6640625" defaultRowHeight="14.4" x14ac:dyDescent="0.3"/>
  <cols>
    <col min="1" max="1" width="8" customWidth="1"/>
    <col min="2" max="2" width="7" customWidth="1"/>
    <col min="3" max="3" width="16" customWidth="1"/>
    <col min="4" max="4" width="15" customWidth="1"/>
    <col min="5" max="5" width="13" customWidth="1"/>
    <col min="6" max="6" width="15" customWidth="1"/>
    <col min="7" max="7" width="17" customWidth="1"/>
  </cols>
  <sheetData>
    <row r="1" spans="1:7" ht="17.25" customHeight="1" x14ac:dyDescent="0.3">
      <c r="A1" s="25" t="s">
        <v>94</v>
      </c>
      <c r="B1" s="24"/>
      <c r="C1" s="24"/>
      <c r="D1" s="24"/>
      <c r="E1" s="24"/>
      <c r="F1" s="24"/>
      <c r="G1" s="24"/>
    </row>
    <row r="2" spans="1:7" ht="27.75" customHeight="1" x14ac:dyDescent="0.3">
      <c r="A2" s="26" t="s">
        <v>95</v>
      </c>
      <c r="B2" s="24"/>
      <c r="C2" s="24"/>
      <c r="D2" s="24"/>
      <c r="E2" s="24"/>
      <c r="F2" s="24"/>
      <c r="G2" s="24"/>
    </row>
    <row r="3" spans="1:7" ht="14.25" customHeight="1" x14ac:dyDescent="0.3">
      <c r="A3" s="9" t="s">
        <v>96</v>
      </c>
      <c r="C3" s="19">
        <f>PMT(Annahmen!$B$31,(Annahmen!$B$38-Annahmen!$B$5),-Hochrechnung!$J$58,0,1)</f>
        <v>25162.210086863226</v>
      </c>
    </row>
    <row r="4" spans="1:7" ht="31.5" customHeight="1" x14ac:dyDescent="0.3">
      <c r="A4" s="16" t="s">
        <v>76</v>
      </c>
      <c r="B4" s="16" t="s">
        <v>3</v>
      </c>
      <c r="C4" s="16" t="s">
        <v>77</v>
      </c>
      <c r="D4" s="16" t="s">
        <v>97</v>
      </c>
      <c r="E4" s="16" t="s">
        <v>98</v>
      </c>
      <c r="F4" s="16" t="s">
        <v>99</v>
      </c>
      <c r="G4" s="16" t="s">
        <v>100</v>
      </c>
    </row>
    <row r="5" spans="1:7" ht="14.25" customHeight="1" x14ac:dyDescent="0.3">
      <c r="A5" s="17">
        <f>1</f>
        <v>1</v>
      </c>
      <c r="B5" s="17">
        <f>Annahmen!$B$5+0</f>
        <v>70</v>
      </c>
      <c r="C5" s="10">
        <f>Hochrechnung!$J$58</f>
        <v>290176.27885529288</v>
      </c>
      <c r="D5" s="10">
        <f t="shared" ref="D5:D29" si="0">IF(C5="","",MIN($C$3,C5))</f>
        <v>25162.210086863226</v>
      </c>
      <c r="E5" s="10">
        <f>IF(D5="","",D5*Annahmen!$B$37)</f>
        <v>7548.6630260589691</v>
      </c>
      <c r="F5" s="10">
        <f t="shared" ref="F5:F29" si="1">IF(D5="","",D5-E5)</f>
        <v>17613.547060804256</v>
      </c>
      <c r="G5" s="10">
        <f>IF(C5="","",MAX(FV(Annahmen!$B$31,1,0,-(C5-D5)),0))</f>
        <v>282902.51841029868</v>
      </c>
    </row>
    <row r="6" spans="1:7" ht="14.25" customHeight="1" x14ac:dyDescent="0.3">
      <c r="A6" s="17">
        <f>2</f>
        <v>2</v>
      </c>
      <c r="B6" s="17">
        <f>Annahmen!$B$5+1</f>
        <v>71</v>
      </c>
      <c r="C6" s="10">
        <f>IF(B6&lt;Annahmen!$B$38,G5,"")</f>
        <v>282902.51841029868</v>
      </c>
      <c r="D6" s="10">
        <f t="shared" si="0"/>
        <v>25162.210086863226</v>
      </c>
      <c r="E6" s="10">
        <f>IF(D6="","",D6*Annahmen!$B$37)</f>
        <v>7548.6630260589691</v>
      </c>
      <c r="F6" s="10">
        <f t="shared" si="1"/>
        <v>17613.547060804256</v>
      </c>
      <c r="G6" s="10">
        <f>IF(C6="","",MAX(FV(Annahmen!$B$31,1,0,-(C6-D6)),0))</f>
        <v>275137.77913526731</v>
      </c>
    </row>
    <row r="7" spans="1:7" ht="14.25" customHeight="1" x14ac:dyDescent="0.3">
      <c r="A7" s="17">
        <f>3</f>
        <v>3</v>
      </c>
      <c r="B7" s="17">
        <f>Annahmen!$B$5+2</f>
        <v>72</v>
      </c>
      <c r="C7" s="10">
        <f>IF(B7&lt;Annahmen!$B$38,G6,"")</f>
        <v>275137.77913526731</v>
      </c>
      <c r="D7" s="10">
        <f t="shared" si="0"/>
        <v>25162.210086863226</v>
      </c>
      <c r="E7" s="10">
        <f>IF(D7="","",D7*Annahmen!$B$37)</f>
        <v>7548.6630260589691</v>
      </c>
      <c r="F7" s="10">
        <f t="shared" si="1"/>
        <v>17613.547060804256</v>
      </c>
      <c r="G7" s="10">
        <f>IF(C7="","",MAX(FV(Annahmen!$B$31,1,0,-(C7-D7)),0))</f>
        <v>266848.91995917133</v>
      </c>
    </row>
    <row r="8" spans="1:7" ht="14.25" customHeight="1" x14ac:dyDescent="0.3">
      <c r="A8" s="17">
        <f>4</f>
        <v>4</v>
      </c>
      <c r="B8" s="17">
        <f>Annahmen!$B$5+3</f>
        <v>73</v>
      </c>
      <c r="C8" s="10">
        <f>IF(B8&lt;Annahmen!$B$38,G7,"")</f>
        <v>266848.91995917133</v>
      </c>
      <c r="D8" s="10">
        <f t="shared" si="0"/>
        <v>25162.210086863226</v>
      </c>
      <c r="E8" s="10">
        <f>IF(D8="","",D8*Annahmen!$B$37)</f>
        <v>7548.6630260589691</v>
      </c>
      <c r="F8" s="10">
        <f t="shared" si="1"/>
        <v>17613.547060804256</v>
      </c>
      <c r="G8" s="10">
        <f>IF(C8="","",MAX(FV(Annahmen!$B$31,1,0,-(C8-D8)),0))</f>
        <v>258000.56278868887</v>
      </c>
    </row>
    <row r="9" spans="1:7" ht="14.25" customHeight="1" x14ac:dyDescent="0.3">
      <c r="A9" s="17">
        <f>5</f>
        <v>5</v>
      </c>
      <c r="B9" s="17">
        <f>Annahmen!$B$5+4</f>
        <v>74</v>
      </c>
      <c r="C9" s="10">
        <f>IF(B9&lt;Annahmen!$B$38,G8,"")</f>
        <v>258000.56278868887</v>
      </c>
      <c r="D9" s="10">
        <f t="shared" si="0"/>
        <v>25162.210086863226</v>
      </c>
      <c r="E9" s="10">
        <f>IF(D9="","",D9*Annahmen!$B$37)</f>
        <v>7548.6630260589691</v>
      </c>
      <c r="F9" s="10">
        <f t="shared" si="1"/>
        <v>17613.547060804256</v>
      </c>
      <c r="G9" s="10">
        <f>IF(C9="","",MAX(FV(Annahmen!$B$31,1,0,-(C9-D9)),0))</f>
        <v>248554.94150919886</v>
      </c>
    </row>
    <row r="10" spans="1:7" ht="14.25" customHeight="1" x14ac:dyDescent="0.3">
      <c r="A10" s="17">
        <f>6</f>
        <v>6</v>
      </c>
      <c r="B10" s="17">
        <f>Annahmen!$B$5+5</f>
        <v>75</v>
      </c>
      <c r="C10" s="10">
        <f>IF(B10&lt;Annahmen!$B$38,G9,"")</f>
        <v>248554.94150919886</v>
      </c>
      <c r="D10" s="10">
        <f t="shared" si="0"/>
        <v>25162.210086863226</v>
      </c>
      <c r="E10" s="10">
        <f>IF(D10="","",D10*Annahmen!$B$37)</f>
        <v>7548.6630260589691</v>
      </c>
      <c r="F10" s="10">
        <f t="shared" si="1"/>
        <v>17613.547060804256</v>
      </c>
      <c r="G10" s="10">
        <f>IF(C10="","",MAX(FV(Annahmen!$B$31,1,0,-(C10-D10)),0))</f>
        <v>238471.74079334326</v>
      </c>
    </row>
    <row r="11" spans="1:7" ht="14.25" customHeight="1" x14ac:dyDescent="0.3">
      <c r="A11" s="17">
        <f>7</f>
        <v>7</v>
      </c>
      <c r="B11" s="17">
        <f>Annahmen!$B$5+6</f>
        <v>76</v>
      </c>
      <c r="C11" s="10">
        <f>IF(B11&lt;Annahmen!$B$38,G10,"")</f>
        <v>238471.74079334326</v>
      </c>
      <c r="D11" s="10">
        <f t="shared" si="0"/>
        <v>25162.210086863226</v>
      </c>
      <c r="E11" s="10">
        <f>IF(D11="","",D11*Annahmen!$B$37)</f>
        <v>7548.6630260589691</v>
      </c>
      <c r="F11" s="10">
        <f t="shared" si="1"/>
        <v>17613.547060804256</v>
      </c>
      <c r="G11" s="10">
        <f>IF(C11="","",MAX(FV(Annahmen!$B$31,1,0,-(C11-D11)),0))</f>
        <v>227707.92402916742</v>
      </c>
    </row>
    <row r="12" spans="1:7" ht="14.25" customHeight="1" x14ac:dyDescent="0.3">
      <c r="A12" s="17">
        <f>8</f>
        <v>8</v>
      </c>
      <c r="B12" s="17">
        <f>Annahmen!$B$5+7</f>
        <v>77</v>
      </c>
      <c r="C12" s="10">
        <f>IF(B12&lt;Annahmen!$B$38,G11,"")</f>
        <v>227707.92402916742</v>
      </c>
      <c r="D12" s="10">
        <f t="shared" si="0"/>
        <v>25162.210086863226</v>
      </c>
      <c r="E12" s="10">
        <f>IF(D12="","",D12*Annahmen!$B$37)</f>
        <v>7548.6630260589691</v>
      </c>
      <c r="F12" s="10">
        <f t="shared" si="1"/>
        <v>17613.547060804256</v>
      </c>
      <c r="G12" s="10">
        <f>IF(C12="","",MAX(FV(Annahmen!$B$31,1,0,-(C12-D12)),0))</f>
        <v>216217.54963340971</v>
      </c>
    </row>
    <row r="13" spans="1:7" ht="14.25" customHeight="1" x14ac:dyDescent="0.3">
      <c r="A13" s="17">
        <f>9</f>
        <v>9</v>
      </c>
      <c r="B13" s="17">
        <f>Annahmen!$B$5+8</f>
        <v>78</v>
      </c>
      <c r="C13" s="10">
        <f>IF(B13&lt;Annahmen!$B$38,G12,"")</f>
        <v>216217.54963340971</v>
      </c>
      <c r="D13" s="10">
        <f t="shared" si="0"/>
        <v>25162.210086863226</v>
      </c>
      <c r="E13" s="10">
        <f>IF(D13="","",D13*Annahmen!$B$37)</f>
        <v>7548.6630260589691</v>
      </c>
      <c r="F13" s="10">
        <f t="shared" si="1"/>
        <v>17613.547060804256</v>
      </c>
      <c r="G13" s="10">
        <f>IF(C13="","",MAX(FV(Annahmen!$B$31,1,0,-(C13-D13)),0))</f>
        <v>203951.57496593834</v>
      </c>
    </row>
    <row r="14" spans="1:7" ht="14.25" customHeight="1" x14ac:dyDescent="0.3">
      <c r="A14" s="17">
        <f>10</f>
        <v>10</v>
      </c>
      <c r="B14" s="17">
        <f>Annahmen!$B$5+9</f>
        <v>79</v>
      </c>
      <c r="C14" s="10">
        <f>IF(B14&lt;Annahmen!$B$38,G13,"")</f>
        <v>203951.57496593834</v>
      </c>
      <c r="D14" s="10">
        <f t="shared" si="0"/>
        <v>25162.210086863226</v>
      </c>
      <c r="E14" s="10">
        <f>IF(D14="","",D14*Annahmen!$B$37)</f>
        <v>7548.6630260589691</v>
      </c>
      <c r="F14" s="10">
        <f t="shared" si="1"/>
        <v>17613.547060804256</v>
      </c>
      <c r="G14" s="10">
        <f>IF(C14="","",MAX(FV(Annahmen!$B$31,1,0,-(C14-D14)),0))</f>
        <v>190857.64700841266</v>
      </c>
    </row>
    <row r="15" spans="1:7" ht="14.25" customHeight="1" x14ac:dyDescent="0.3">
      <c r="A15" s="17">
        <f>11</f>
        <v>11</v>
      </c>
      <c r="B15" s="17">
        <f>Annahmen!$B$5+10</f>
        <v>80</v>
      </c>
      <c r="C15" s="10">
        <f>IF(B15&lt;Annahmen!$B$38,G14,"")</f>
        <v>190857.64700841266</v>
      </c>
      <c r="D15" s="10">
        <f t="shared" si="0"/>
        <v>25162.210086863226</v>
      </c>
      <c r="E15" s="10">
        <f>IF(D15="","",D15*Annahmen!$B$37)</f>
        <v>7548.6630260589691</v>
      </c>
      <c r="F15" s="10">
        <f t="shared" si="1"/>
        <v>17613.547060804256</v>
      </c>
      <c r="G15" s="10">
        <f>IF(C15="","",MAX(FV(Annahmen!$B$31,1,0,-(C15-D15)),0))</f>
        <v>176879.87891375402</v>
      </c>
    </row>
    <row r="16" spans="1:7" ht="14.25" customHeight="1" x14ac:dyDescent="0.3">
      <c r="A16" s="17">
        <f>12</f>
        <v>12</v>
      </c>
      <c r="B16" s="17">
        <f>Annahmen!$B$5+11</f>
        <v>81</v>
      </c>
      <c r="C16" s="10">
        <f>IF(B16&lt;Annahmen!$B$38,G15,"")</f>
        <v>176879.87891375402</v>
      </c>
      <c r="D16" s="10">
        <f t="shared" si="0"/>
        <v>25162.210086863226</v>
      </c>
      <c r="E16" s="10">
        <f>IF(D16="","",D16*Annahmen!$B$37)</f>
        <v>7548.6630260589691</v>
      </c>
      <c r="F16" s="10">
        <f t="shared" si="1"/>
        <v>17613.547060804256</v>
      </c>
      <c r="G16" s="10">
        <f>IF(C16="","",MAX(FV(Annahmen!$B$31,1,0,-(C16-D16)),0))</f>
        <v>161958.6114727059</v>
      </c>
    </row>
    <row r="17" spans="1:7" ht="14.25" customHeight="1" x14ac:dyDescent="0.3">
      <c r="A17" s="17">
        <f>13</f>
        <v>13</v>
      </c>
      <c r="B17" s="17">
        <f>Annahmen!$B$5+12</f>
        <v>82</v>
      </c>
      <c r="C17" s="10">
        <f>IF(B17&lt;Annahmen!$B$38,G16,"")</f>
        <v>161958.6114727059</v>
      </c>
      <c r="D17" s="10">
        <f t="shared" si="0"/>
        <v>25162.210086863226</v>
      </c>
      <c r="E17" s="10">
        <f>IF(D17="","",D17*Annahmen!$B$37)</f>
        <v>7548.6630260589691</v>
      </c>
      <c r="F17" s="10">
        <f t="shared" si="1"/>
        <v>17613.547060804256</v>
      </c>
      <c r="G17" s="10">
        <f>IF(C17="","",MAX(FV(Annahmen!$B$31,1,0,-(C17-D17)),0))</f>
        <v>146030.15847938706</v>
      </c>
    </row>
    <row r="18" spans="1:7" ht="14.25" customHeight="1" x14ac:dyDescent="0.3">
      <c r="A18" s="17">
        <f>14</f>
        <v>14</v>
      </c>
      <c r="B18" s="17">
        <f>Annahmen!$B$5+13</f>
        <v>83</v>
      </c>
      <c r="C18" s="10">
        <f>IF(B18&lt;Annahmen!$B$38,G17,"")</f>
        <v>146030.15847938706</v>
      </c>
      <c r="D18" s="10">
        <f t="shared" si="0"/>
        <v>25162.210086863226</v>
      </c>
      <c r="E18" s="10">
        <f>IF(D18="","",D18*Annahmen!$B$37)</f>
        <v>7548.6630260589691</v>
      </c>
      <c r="F18" s="10">
        <f t="shared" si="1"/>
        <v>17613.547060804256</v>
      </c>
      <c r="G18" s="10">
        <f>IF(C18="","",MAX(FV(Annahmen!$B$31,1,0,-(C18-D18)),0))</f>
        <v>129026.53490901917</v>
      </c>
    </row>
    <row r="19" spans="1:7" ht="14.25" customHeight="1" x14ac:dyDescent="0.3">
      <c r="A19" s="17">
        <f>15</f>
        <v>15</v>
      </c>
      <c r="B19" s="17">
        <f>Annahmen!$B$5+14</f>
        <v>84</v>
      </c>
      <c r="C19" s="10">
        <f>IF(B19&lt;Annahmen!$B$38,G18,"")</f>
        <v>129026.53490901917</v>
      </c>
      <c r="D19" s="10">
        <f t="shared" si="0"/>
        <v>25162.210086863226</v>
      </c>
      <c r="E19" s="10">
        <f>IF(D19="","",D19*Annahmen!$B$37)</f>
        <v>7548.6630260589691</v>
      </c>
      <c r="F19" s="10">
        <f t="shared" si="1"/>
        <v>17613.547060804256</v>
      </c>
      <c r="G19" s="10">
        <f>IF(C19="","",MAX(FV(Annahmen!$B$31,1,0,-(C19-D19)),0))</f>
        <v>110875.16674765147</v>
      </c>
    </row>
    <row r="20" spans="1:7" ht="14.25" customHeight="1" x14ac:dyDescent="0.3">
      <c r="A20" s="17">
        <f>16</f>
        <v>16</v>
      </c>
      <c r="B20" s="17">
        <f>Annahmen!$B$5+15</f>
        <v>85</v>
      </c>
      <c r="C20" s="10">
        <f>IF(B20&lt;Annahmen!$B$38,G19,"")</f>
        <v>110875.16674765147</v>
      </c>
      <c r="D20" s="10">
        <f t="shared" si="0"/>
        <v>25162.210086863226</v>
      </c>
      <c r="E20" s="10">
        <f>IF(D20="","",D20*Annahmen!$B$37)</f>
        <v>7548.6630260589691</v>
      </c>
      <c r="F20" s="10">
        <f t="shared" si="1"/>
        <v>17613.547060804256</v>
      </c>
      <c r="G20" s="10">
        <f>IF(C20="","",MAX(FV(Annahmen!$B$31,1,0,-(C20-D20)),0))</f>
        <v>91498.581235391437</v>
      </c>
    </row>
    <row r="21" spans="1:7" ht="14.25" customHeight="1" x14ac:dyDescent="0.3">
      <c r="A21" s="17">
        <f>17</f>
        <v>17</v>
      </c>
      <c r="B21" s="17">
        <f>Annahmen!$B$5+16</f>
        <v>86</v>
      </c>
      <c r="C21" s="10">
        <f>IF(B21&lt;Annahmen!$B$38,G20,"")</f>
        <v>91498.581235391437</v>
      </c>
      <c r="D21" s="10">
        <f t="shared" si="0"/>
        <v>25162.210086863226</v>
      </c>
      <c r="E21" s="10">
        <f>IF(D21="","",D21*Annahmen!$B$37)</f>
        <v>7548.6630260589691</v>
      </c>
      <c r="F21" s="10">
        <f t="shared" si="1"/>
        <v>17613.547060804256</v>
      </c>
      <c r="G21" s="10">
        <f>IF(C21="","",MAX(FV(Annahmen!$B$31,1,0,-(C21-D21)),0))</f>
        <v>70814.07620105386</v>
      </c>
    </row>
    <row r="22" spans="1:7" ht="14.25" customHeight="1" x14ac:dyDescent="0.3">
      <c r="A22" s="17">
        <f>18</f>
        <v>18</v>
      </c>
      <c r="B22" s="17">
        <f>Annahmen!$B$5+17</f>
        <v>87</v>
      </c>
      <c r="C22" s="10">
        <f>IF(B22&lt;Annahmen!$B$38,G21,"")</f>
        <v>70814.07620105386</v>
      </c>
      <c r="D22" s="10">
        <f t="shared" si="0"/>
        <v>25162.210086863226</v>
      </c>
      <c r="E22" s="10">
        <f>IF(D22="","",D22*Annahmen!$B$37)</f>
        <v>7548.6630260589691</v>
      </c>
      <c r="F22" s="10">
        <f t="shared" si="1"/>
        <v>17613.547060804256</v>
      </c>
      <c r="G22" s="10">
        <f>IF(C22="","",MAX(FV(Annahmen!$B$31,1,0,-(C22-D22)),0))</f>
        <v>48733.367076898496</v>
      </c>
    </row>
    <row r="23" spans="1:7" ht="14.25" customHeight="1" x14ac:dyDescent="0.3">
      <c r="A23" s="17">
        <f>19</f>
        <v>19</v>
      </c>
      <c r="B23" s="17">
        <f>Annahmen!$B$5+18</f>
        <v>88</v>
      </c>
      <c r="C23" s="10">
        <f>IF(B23&lt;Annahmen!$B$38,G22,"")</f>
        <v>48733.367076898496</v>
      </c>
      <c r="D23" s="10">
        <f t="shared" si="0"/>
        <v>25162.210086863226</v>
      </c>
      <c r="E23" s="10">
        <f>IF(D23="","",D23*Annahmen!$B$37)</f>
        <v>7548.6630260589691</v>
      </c>
      <c r="F23" s="10">
        <f t="shared" si="1"/>
        <v>17613.547060804256</v>
      </c>
      <c r="G23" s="10">
        <f>IF(C23="","",MAX(FV(Annahmen!$B$31,1,0,-(C23-D23)),0))</f>
        <v>25162.210086862648</v>
      </c>
    </row>
    <row r="24" spans="1:7" ht="14.25" customHeight="1" x14ac:dyDescent="0.3">
      <c r="A24" s="17">
        <f>20</f>
        <v>20</v>
      </c>
      <c r="B24" s="17">
        <f>Annahmen!$B$5+19</f>
        <v>89</v>
      </c>
      <c r="C24" s="10">
        <f>IF(B24&lt;Annahmen!$B$38,G23,"")</f>
        <v>25162.210086862648</v>
      </c>
      <c r="D24" s="10">
        <f t="shared" si="0"/>
        <v>25162.210086862648</v>
      </c>
      <c r="E24" s="10">
        <f>IF(D24="","",D24*Annahmen!$B$37)</f>
        <v>7548.6630260587954</v>
      </c>
      <c r="F24" s="10">
        <f t="shared" si="1"/>
        <v>17613.547060803852</v>
      </c>
      <c r="G24" s="10">
        <f>IF(C24="","",MAX(FV(Annahmen!$B$31,1,0,-(C24-D24)),0))</f>
        <v>0</v>
      </c>
    </row>
    <row r="25" spans="1:7" ht="14.25" customHeight="1" x14ac:dyDescent="0.3">
      <c r="A25" s="17">
        <f>21</f>
        <v>21</v>
      </c>
      <c r="B25" s="17">
        <f>Annahmen!$B$5+20</f>
        <v>90</v>
      </c>
      <c r="C25" s="10" t="str">
        <f>IF(B25&lt;Annahmen!$B$38,G24,"")</f>
        <v/>
      </c>
      <c r="D25" s="10" t="str">
        <f t="shared" si="0"/>
        <v/>
      </c>
      <c r="E25" s="10" t="str">
        <f>IF(D25="","",D25*Annahmen!$B$37)</f>
        <v/>
      </c>
      <c r="F25" s="10" t="str">
        <f t="shared" si="1"/>
        <v/>
      </c>
      <c r="G25" s="10" t="str">
        <f>IF(C25="","",MAX(FV(Annahmen!$B$31,1,0,-(C25-D25)),0))</f>
        <v/>
      </c>
    </row>
    <row r="26" spans="1:7" ht="14.25" customHeight="1" x14ac:dyDescent="0.3">
      <c r="A26" s="17">
        <f>22</f>
        <v>22</v>
      </c>
      <c r="B26" s="17">
        <f>Annahmen!$B$5+21</f>
        <v>91</v>
      </c>
      <c r="C26" s="10" t="str">
        <f>IF(B26&lt;Annahmen!$B$38,G25,"")</f>
        <v/>
      </c>
      <c r="D26" s="10" t="str">
        <f t="shared" si="0"/>
        <v/>
      </c>
      <c r="E26" s="10" t="str">
        <f>IF(D26="","",D26*Annahmen!$B$37)</f>
        <v/>
      </c>
      <c r="F26" s="10" t="str">
        <f t="shared" si="1"/>
        <v/>
      </c>
      <c r="G26" s="10" t="str">
        <f>IF(C26="","",MAX(FV(Annahmen!$B$31,1,0,-(C26-D26)),0))</f>
        <v/>
      </c>
    </row>
    <row r="27" spans="1:7" ht="14.25" customHeight="1" x14ac:dyDescent="0.3">
      <c r="A27" s="17">
        <f>23</f>
        <v>23</v>
      </c>
      <c r="B27" s="17">
        <f>Annahmen!$B$5+22</f>
        <v>92</v>
      </c>
      <c r="C27" s="10" t="str">
        <f>IF(B27&lt;Annahmen!$B$38,G26,"")</f>
        <v/>
      </c>
      <c r="D27" s="10" t="str">
        <f t="shared" si="0"/>
        <v/>
      </c>
      <c r="E27" s="10" t="str">
        <f>IF(D27="","",D27*Annahmen!$B$37)</f>
        <v/>
      </c>
      <c r="F27" s="10" t="str">
        <f t="shared" si="1"/>
        <v/>
      </c>
      <c r="G27" s="10" t="str">
        <f>IF(C27="","",MAX(FV(Annahmen!$B$31,1,0,-(C27-D27)),0))</f>
        <v/>
      </c>
    </row>
    <row r="28" spans="1:7" ht="14.25" customHeight="1" x14ac:dyDescent="0.3">
      <c r="A28" s="17">
        <f>24</f>
        <v>24</v>
      </c>
      <c r="B28" s="17">
        <f>Annahmen!$B$5+23</f>
        <v>93</v>
      </c>
      <c r="C28" s="10" t="str">
        <f>IF(B28&lt;Annahmen!$B$38,G27,"")</f>
        <v/>
      </c>
      <c r="D28" s="10" t="str">
        <f t="shared" si="0"/>
        <v/>
      </c>
      <c r="E28" s="10" t="str">
        <f>IF(D28="","",D28*Annahmen!$B$37)</f>
        <v/>
      </c>
      <c r="F28" s="10" t="str">
        <f t="shared" si="1"/>
        <v/>
      </c>
      <c r="G28" s="10" t="str">
        <f>IF(C28="","",MAX(FV(Annahmen!$B$31,1,0,-(C28-D28)),0))</f>
        <v/>
      </c>
    </row>
    <row r="29" spans="1:7" ht="14.25" customHeight="1" x14ac:dyDescent="0.3">
      <c r="A29" s="17">
        <f>25</f>
        <v>25</v>
      </c>
      <c r="B29" s="17">
        <f>Annahmen!$B$5+24</f>
        <v>94</v>
      </c>
      <c r="C29" s="10" t="str">
        <f>IF(B29&lt;Annahmen!$B$38,G28,"")</f>
        <v/>
      </c>
      <c r="D29" s="10" t="str">
        <f t="shared" si="0"/>
        <v/>
      </c>
      <c r="E29" s="10" t="str">
        <f>IF(D29="","",D29*Annahmen!$B$37)</f>
        <v/>
      </c>
      <c r="F29" s="10" t="str">
        <f t="shared" si="1"/>
        <v/>
      </c>
      <c r="G29" s="10" t="str">
        <f>IF(C29="","",MAX(FV(Annahmen!$B$31,1,0,-(C29-D29)),0))</f>
        <v/>
      </c>
    </row>
    <row r="31" spans="1:7" ht="27.75" customHeight="1" x14ac:dyDescent="0.3">
      <c r="A31" s="26" t="s">
        <v>101</v>
      </c>
      <c r="B31" s="24"/>
      <c r="C31" s="24"/>
      <c r="D31" s="24"/>
      <c r="E31" s="24"/>
      <c r="F31" s="24"/>
      <c r="G31" s="24"/>
    </row>
  </sheetData>
  <mergeCells count="3">
    <mergeCell ref="A31:G31"/>
    <mergeCell ref="A2:G2"/>
    <mergeCell ref="A1:G1"/>
  </mergeCells>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74"/>
  <sheetViews>
    <sheetView showGridLines="0" zoomScaleNormal="100" workbookViewId="0">
      <selection activeCell="N19" sqref="N19"/>
    </sheetView>
  </sheetViews>
  <sheetFormatPr baseColWidth="10" defaultColWidth="8.6640625" defaultRowHeight="14.4" x14ac:dyDescent="0.3"/>
  <cols>
    <col min="1" max="1" width="14" customWidth="1"/>
  </cols>
  <sheetData>
    <row r="1" spans="1:18" ht="17.25" customHeight="1" x14ac:dyDescent="0.3">
      <c r="A1" s="25" t="s">
        <v>0</v>
      </c>
      <c r="B1" s="24"/>
      <c r="C1" s="24"/>
      <c r="D1" s="24"/>
      <c r="E1" s="24"/>
      <c r="F1" s="24"/>
      <c r="G1" s="24"/>
      <c r="H1" s="24"/>
    </row>
    <row r="2" spans="1:18" ht="14.25" customHeight="1" x14ac:dyDescent="0.3">
      <c r="A2" s="23" t="s">
        <v>1</v>
      </c>
      <c r="B2" s="24"/>
      <c r="C2" s="24"/>
      <c r="D2" s="24"/>
      <c r="E2" s="24"/>
      <c r="F2" s="24"/>
      <c r="G2" s="24"/>
      <c r="H2" s="24"/>
    </row>
    <row r="3" spans="1:18" ht="14.25" customHeight="1" x14ac:dyDescent="0.3">
      <c r="Q3" s="9" t="s">
        <v>2</v>
      </c>
    </row>
    <row r="4" spans="1:18" ht="14.25" customHeight="1" x14ac:dyDescent="0.3">
      <c r="Q4" s="20" t="s">
        <v>3</v>
      </c>
      <c r="R4" s="20" t="s">
        <v>4</v>
      </c>
    </row>
    <row r="5" spans="1:18" ht="14.25" customHeight="1" x14ac:dyDescent="0.3">
      <c r="Q5" s="21">
        <f>IF(Annahmen!$B$4+0&lt;=Annahmen!$B$38,Annahmen!$B$4+0,"")</f>
        <v>40</v>
      </c>
      <c r="R5" s="22">
        <f>IF(Q5="","",IF(Q5&lt;=Annahmen!$B$5,INDEX(Hochrechnung!$J$4:$J$53,MATCH(Q5,Hochrechnung!$B$4:$B$53,0)),INDEX(Auszahlplan!$G$5:$G$29,MATCH(Q5-1,Auszahlplan!$B$5:$B$29,0))))</f>
        <v>3402.3557802030946</v>
      </c>
    </row>
    <row r="6" spans="1:18" ht="14.25" customHeight="1" x14ac:dyDescent="0.3">
      <c r="Q6" s="21">
        <f>IF(Annahmen!$B$4+1&lt;=Annahmen!$B$38,Annahmen!$B$4+1,"")</f>
        <v>41</v>
      </c>
      <c r="R6" s="22">
        <f>IF(Q6="","",IF(Q6&lt;=Annahmen!$B$5,INDEX(Hochrechnung!$J$4:$J$53,MATCH(Q6,Hochrechnung!$B$4:$B$53,0)),INDEX(Auszahlplan!$G$5:$G$29,MATCH(Q6-1,Auszahlplan!$B$5:$B$29,0))))</f>
        <v>7034.3705755699038</v>
      </c>
    </row>
    <row r="7" spans="1:18" ht="14.25" customHeight="1" x14ac:dyDescent="0.3">
      <c r="Q7" s="21">
        <f>IF(Annahmen!$B$4+2&lt;=Annahmen!$B$38,Annahmen!$B$4+2,"")</f>
        <v>42</v>
      </c>
      <c r="R7" s="22">
        <f>IF(Q7="","",IF(Q7&lt;=Annahmen!$B$5,INDEX(Hochrechnung!$J$4:$J$53,MATCH(Q7,Hochrechnung!$B$4:$B$53,0)),INDEX(Auszahlplan!$G$5:$G$29,MATCH(Q7-1,Auszahlplan!$B$5:$B$29,0))))</f>
        <v>10911.546369623979</v>
      </c>
    </row>
    <row r="8" spans="1:18" ht="14.25" customHeight="1" x14ac:dyDescent="0.3">
      <c r="Q8" s="21">
        <f>IF(Annahmen!$B$4+3&lt;=Annahmen!$B$38,Annahmen!$B$4+3,"")</f>
        <v>43</v>
      </c>
      <c r="R8" s="22">
        <f>IF(Q8="","",IF(Q8&lt;=Annahmen!$B$5,INDEX(Hochrechnung!$J$4:$J$53,MATCH(Q8,Hochrechnung!$B$4:$B$53,0)),INDEX(Auszahlplan!$G$5:$G$29,MATCH(Q8-1,Auszahlplan!$B$5:$B$29,0))))</f>
        <v>15050.431529776708</v>
      </c>
    </row>
    <row r="9" spans="1:18" ht="14.25" customHeight="1" x14ac:dyDescent="0.3">
      <c r="Q9" s="21">
        <f>IF(Annahmen!$B$4+4&lt;=Annahmen!$B$38,Annahmen!$B$4+4,"")</f>
        <v>44</v>
      </c>
      <c r="R9" s="22">
        <f>IF(Q9="","",IF(Q9&lt;=Annahmen!$B$5,INDEX(Hochrechnung!$J$4:$J$53,MATCH(Q9,Hochrechnung!$B$4:$B$53,0)),INDEX(Auszahlplan!$G$5:$G$29,MATCH(Q9-1,Auszahlplan!$B$5:$B$29,0))))</f>
        <v>19468.691438239752</v>
      </c>
    </row>
    <row r="10" spans="1:18" ht="14.25" customHeight="1" x14ac:dyDescent="0.3">
      <c r="Q10" s="21">
        <f>IF(Annahmen!$B$4+5&lt;=Annahmen!$B$38,Annahmen!$B$4+5,"")</f>
        <v>45</v>
      </c>
      <c r="R10" s="22">
        <f>IF(Q10="","",IF(Q10&lt;=Annahmen!$B$5,INDEX(Hochrechnung!$J$4:$J$53,MATCH(Q10,Hochrechnung!$B$4:$B$53,0)),INDEX(Auszahlplan!$G$5:$G$29,MATCH(Q10-1,Auszahlplan!$B$5:$B$29,0))))</f>
        <v>24185.183890524055</v>
      </c>
    </row>
    <row r="11" spans="1:18" ht="14.25" customHeight="1" x14ac:dyDescent="0.3">
      <c r="Q11" s="21">
        <f>IF(Annahmen!$B$4+6&lt;=Annahmen!$B$38,Annahmen!$B$4+6,"")</f>
        <v>46</v>
      </c>
      <c r="R11" s="22">
        <f>IF(Q11="","",IF(Q11&lt;=Annahmen!$B$5,INDEX(Hochrechnung!$J$4:$J$53,MATCH(Q11,Hochrechnung!$B$4:$B$53,0)),INDEX(Auszahlplan!$G$5:$G$29,MATCH(Q11-1,Auszahlplan!$B$5:$B$29,0))))</f>
        <v>29220.039583337555</v>
      </c>
    </row>
    <row r="12" spans="1:18" ht="14.25" customHeight="1" x14ac:dyDescent="0.3">
      <c r="Q12" s="21">
        <f>IF(Annahmen!$B$4+7&lt;=Annahmen!$B$38,Annahmen!$B$4+7,"")</f>
        <v>47</v>
      </c>
      <c r="R12" s="22">
        <f>IF(Q12="","",IF(Q12&lt;=Annahmen!$B$5,INDEX(Hochrechnung!$J$4:$J$53,MATCH(Q12,Hochrechnung!$B$4:$B$53,0)),INDEX(Auszahlplan!$G$5:$G$29,MATCH(Q12-1,Auszahlplan!$B$5:$B$29,0))))</f>
        <v>34594.748035415978</v>
      </c>
    </row>
    <row r="13" spans="1:18" ht="14.25" customHeight="1" x14ac:dyDescent="0.3">
      <c r="Q13" s="21">
        <f>IF(Annahmen!$B$4+8&lt;=Annahmen!$B$38,Annahmen!$B$4+8,"")</f>
        <v>48</v>
      </c>
      <c r="R13" s="22">
        <f>IF(Q13="","",IF(Q13&lt;=Annahmen!$B$5,INDEX(Hochrechnung!$J$4:$J$53,MATCH(Q13,Hochrechnung!$B$4:$B$53,0)),INDEX(Auszahlplan!$G$5:$G$29,MATCH(Q13-1,Auszahlplan!$B$5:$B$29,0))))</f>
        <v>40332.249308009705</v>
      </c>
    </row>
    <row r="14" spans="1:18" ht="14.25" customHeight="1" x14ac:dyDescent="0.3">
      <c r="Q14" s="21">
        <f>IF(Annahmen!$B$4+9&lt;=Annahmen!$B$38,Annahmen!$B$4+9,"")</f>
        <v>49</v>
      </c>
      <c r="R14" s="22">
        <f>IF(Q14="","",IF(Q14&lt;=Annahmen!$B$5,INDEX(Hochrechnung!$J$4:$J$53,MATCH(Q14,Hochrechnung!$B$4:$B$53,0)),INDEX(Auszahlplan!$G$5:$G$29,MATCH(Q14-1,Auszahlplan!$B$5:$B$29,0))))</f>
        <v>46457.031916503518</v>
      </c>
    </row>
    <row r="15" spans="1:18" ht="14.25" customHeight="1" x14ac:dyDescent="0.3">
      <c r="Q15" s="21">
        <f>IF(Annahmen!$B$4+10&lt;=Annahmen!$B$38,Annahmen!$B$4+10,"")</f>
        <v>50</v>
      </c>
      <c r="R15" s="22">
        <f>IF(Q15="","",IF(Q15&lt;=Annahmen!$B$5,INDEX(Hochrechnung!$J$4:$J$53,MATCH(Q15,Hochrechnung!$B$4:$B$53,0)),INDEX(Auszahlplan!$G$5:$G$29,MATCH(Q15-1,Auszahlplan!$B$5:$B$29,0))))</f>
        <v>52995.237351070668</v>
      </c>
    </row>
    <row r="16" spans="1:18" ht="14.25" customHeight="1" x14ac:dyDescent="0.3">
      <c r="Q16" s="21">
        <f>IF(Annahmen!$B$4+11&lt;=Annahmen!$B$38,Annahmen!$B$4+11,"")</f>
        <v>51</v>
      </c>
      <c r="R16" s="22">
        <f>IF(Q16="","",IF(Q16&lt;=Annahmen!$B$5,INDEX(Hochrechnung!$J$4:$J$53,MATCH(Q16,Hochrechnung!$B$4:$B$53,0)),INDEX(Auszahlplan!$G$5:$G$29,MATCH(Q16-1,Auszahlplan!$B$5:$B$29,0))))</f>
        <v>59974.771652471114</v>
      </c>
    </row>
    <row r="17" spans="17:18" ht="14.25" customHeight="1" x14ac:dyDescent="0.3">
      <c r="Q17" s="21">
        <f>IF(Annahmen!$B$4+12&lt;=Annahmen!$B$38,Annahmen!$B$4+12,"")</f>
        <v>52</v>
      </c>
      <c r="R17" s="22">
        <f>IF(Q17="","",IF(Q17&lt;=Annahmen!$B$5,INDEX(Hochrechnung!$J$4:$J$53,MATCH(Q17,Hochrechnung!$B$4:$B$53,0)),INDEX(Auszahlplan!$G$5:$G$29,MATCH(Q17-1,Auszahlplan!$B$5:$B$29,0))))</f>
        <v>67425.424519216089</v>
      </c>
    </row>
    <row r="18" spans="17:18" ht="14.25" customHeight="1" x14ac:dyDescent="0.3">
      <c r="Q18" s="21">
        <f>IF(Annahmen!$B$4+13&lt;=Annahmen!$B$38,Annahmen!$B$4+13,"")</f>
        <v>53</v>
      </c>
      <c r="R18" s="22">
        <f>IF(Q18="","",IF(Q18&lt;=Annahmen!$B$5,INDEX(Hochrechnung!$J$4:$J$53,MATCH(Q18,Hochrechnung!$B$4:$B$53,0)),INDEX(Auszahlplan!$G$5:$G$29,MATCH(Q18-1,Auszahlplan!$B$5:$B$29,0))))</f>
        <v>75378.996454466367</v>
      </c>
    </row>
    <row r="19" spans="17:18" ht="14.25" customHeight="1" x14ac:dyDescent="0.3">
      <c r="Q19" s="21">
        <f>IF(Annahmen!$B$4+14&lt;=Annahmen!$B$38,Annahmen!$B$4+14,"")</f>
        <v>54</v>
      </c>
      <c r="R19" s="22">
        <f>IF(Q19="","",IF(Q19&lt;=Annahmen!$B$5,INDEX(Hochrechnung!$J$4:$J$53,MATCH(Q19,Hochrechnung!$B$4:$B$53,0)),INDEX(Auszahlplan!$G$5:$G$29,MATCH(Q19-1,Auszahlplan!$B$5:$B$29,0))))</f>
        <v>83869.434495346039</v>
      </c>
    </row>
    <row r="20" spans="17:18" ht="14.25" customHeight="1" x14ac:dyDescent="0.3">
      <c r="Q20" s="21">
        <f>IF(Annahmen!$B$4+15&lt;=Annahmen!$B$38,Annahmen!$B$4+15,"")</f>
        <v>55</v>
      </c>
      <c r="R20" s="22">
        <f>IF(Q20="","",IF(Q20&lt;=Annahmen!$B$5,INDEX(Hochrechnung!$J$4:$J$53,MATCH(Q20,Hochrechnung!$B$4:$B$53,0)),INDEX(Auszahlplan!$G$5:$G$29,MATCH(Q20-1,Auszahlplan!$B$5:$B$29,0))))</f>
        <v>92932.977103985104</v>
      </c>
    </row>
    <row r="21" spans="17:18" ht="14.25" customHeight="1" x14ac:dyDescent="0.3">
      <c r="Q21" s="21">
        <f>IF(Annahmen!$B$4+16&lt;=Annahmen!$B$38,Annahmen!$B$4+16,"")</f>
        <v>56</v>
      </c>
      <c r="R21" s="22">
        <f>IF(Q21="","",IF(Q21&lt;=Annahmen!$B$5,INDEX(Hochrechnung!$J$4:$J$53,MATCH(Q21,Hochrechnung!$B$4:$B$53,0)),INDEX(Auszahlplan!$G$5:$G$29,MATCH(Q21-1,Auszahlplan!$B$5:$B$29,0))))</f>
        <v>102288.05883870732</v>
      </c>
    </row>
    <row r="22" spans="17:18" ht="14.25" customHeight="1" x14ac:dyDescent="0.3">
      <c r="Q22" s="21">
        <f>IF(Annahmen!$B$4+17&lt;=Annahmen!$B$38,Annahmen!$B$4+17,"")</f>
        <v>57</v>
      </c>
      <c r="R22" s="22">
        <f>IF(Q22="","",IF(Q22&lt;=Annahmen!$B$5,INDEX(Hochrechnung!$J$4:$J$53,MATCH(Q22,Hochrechnung!$B$4:$B$53,0)),INDEX(Auszahlplan!$G$5:$G$29,MATCH(Q22-1,Auszahlplan!$B$5:$B$29,0))))</f>
        <v>112274.6085905233</v>
      </c>
    </row>
    <row r="23" spans="17:18" ht="14.25" customHeight="1" x14ac:dyDescent="0.3">
      <c r="Q23" s="21">
        <f>IF(Annahmen!$B$4+18&lt;=Annahmen!$B$38,Annahmen!$B$4+18,"")</f>
        <v>58</v>
      </c>
      <c r="R23" s="22">
        <f>IF(Q23="","",IF(Q23&lt;=Annahmen!$B$5,INDEX(Hochrechnung!$J$4:$J$53,MATCH(Q23,Hochrechnung!$B$4:$B$53,0)),INDEX(Auszahlplan!$G$5:$G$29,MATCH(Q23-1,Auszahlplan!$B$5:$B$29,0))))</f>
        <v>122615.00045058689</v>
      </c>
    </row>
    <row r="24" spans="17:18" ht="14.25" customHeight="1" x14ac:dyDescent="0.3">
      <c r="Q24" s="21">
        <f>IF(Annahmen!$B$4+19&lt;=Annahmen!$B$38,Annahmen!$B$4+19,"")</f>
        <v>59</v>
      </c>
      <c r="R24" s="22">
        <f>IF(Q24="","",IF(Q24&lt;=Annahmen!$B$5,INDEX(Hochrechnung!$J$4:$J$53,MATCH(Q24,Hochrechnung!$B$4:$B$53,0)),INDEX(Auszahlplan!$G$5:$G$29,MATCH(Q24-1,Auszahlplan!$B$5:$B$29,0))))</f>
        <v>133653.36876120477</v>
      </c>
    </row>
    <row r="25" spans="17:18" ht="14.25" customHeight="1" x14ac:dyDescent="0.3">
      <c r="Q25" s="21">
        <f>IF(Annahmen!$B$4+20&lt;=Annahmen!$B$38,Annahmen!$B$4+20,"")</f>
        <v>60</v>
      </c>
      <c r="R25" s="22">
        <f>IF(Q25="","",IF(Q25&lt;=Annahmen!$B$5,INDEX(Hochrechnung!$J$4:$J$53,MATCH(Q25,Hochrechnung!$B$4:$B$53,0)),INDEX(Auszahlplan!$G$5:$G$29,MATCH(Q25-1,Auszahlplan!$B$5:$B$29,0))))</f>
        <v>145116.57693278938</v>
      </c>
    </row>
    <row r="26" spans="17:18" ht="14.25" customHeight="1" x14ac:dyDescent="0.3">
      <c r="Q26" s="21">
        <f>IF(Annahmen!$B$4+21&lt;=Annahmen!$B$38,Annahmen!$B$4+21,"")</f>
        <v>61</v>
      </c>
      <c r="R26" s="22">
        <f>IF(Q26="","",IF(Q26&lt;=Annahmen!$B$5,INDEX(Hochrechnung!$J$4:$J$53,MATCH(Q26,Hochrechnung!$B$4:$B$53,0)),INDEX(Auszahlplan!$G$5:$G$29,MATCH(Q26-1,Auszahlplan!$B$5:$B$29,0))))</f>
        <v>157353.55165595596</v>
      </c>
    </row>
    <row r="27" spans="17:18" ht="14.25" customHeight="1" x14ac:dyDescent="0.3">
      <c r="Q27" s="21">
        <f>IF(Annahmen!$B$4+22&lt;=Annahmen!$B$38,Annahmen!$B$4+22,"")</f>
        <v>62</v>
      </c>
      <c r="R27" s="22">
        <f>IF(Q27="","",IF(Q27&lt;=Annahmen!$B$5,INDEX(Hochrechnung!$J$4:$J$53,MATCH(Q27,Hochrechnung!$B$4:$B$53,0)),INDEX(Auszahlplan!$G$5:$G$29,MATCH(Q27-1,Auszahlplan!$B$5:$B$29,0))))</f>
        <v>170416.5221729363</v>
      </c>
    </row>
    <row r="28" spans="17:18" ht="14.25" customHeight="1" x14ac:dyDescent="0.3">
      <c r="Q28" s="21">
        <f>IF(Annahmen!$B$4+23&lt;=Annahmen!$B$38,Annahmen!$B$4+23,"")</f>
        <v>63</v>
      </c>
      <c r="R28" s="22">
        <f>IF(Q28="","",IF(Q28&lt;=Annahmen!$B$5,INDEX(Hochrechnung!$J$4:$J$53,MATCH(Q28,Hochrechnung!$B$4:$B$53,0)),INDEX(Auszahlplan!$G$5:$G$29,MATCH(Q28-1,Auszahlplan!$B$5:$B$29,0))))</f>
        <v>184361.24319981283</v>
      </c>
    </row>
    <row r="29" spans="17:18" ht="14.25" customHeight="1" x14ac:dyDescent="0.3">
      <c r="Q29" s="21">
        <f>IF(Annahmen!$B$4+24&lt;=Annahmen!$B$38,Annahmen!$B$4+24,"")</f>
        <v>64</v>
      </c>
      <c r="R29" s="22">
        <f>IF(Q29="","",IF(Q29&lt;=Annahmen!$B$5,INDEX(Hochrechnung!$J$4:$J$53,MATCH(Q29,Hochrechnung!$B$4:$B$53,0)),INDEX(Auszahlplan!$G$5:$G$29,MATCH(Q29-1,Auszahlplan!$B$5:$B$29,0))))</f>
        <v>199247.23289600355</v>
      </c>
    </row>
    <row r="30" spans="17:18" ht="14.25" customHeight="1" x14ac:dyDescent="0.3">
      <c r="Q30" s="21">
        <f>IF(Annahmen!$B$4+25&lt;=Annahmen!$B$38,Annahmen!$B$4+25,"")</f>
        <v>65</v>
      </c>
      <c r="R30" s="22">
        <f>IF(Q30="","",IF(Q30&lt;=Annahmen!$B$5,INDEX(Hochrechnung!$J$4:$J$53,MATCH(Q30,Hochrechnung!$B$4:$B$53,0)),INDEX(Auszahlplan!$G$5:$G$29,MATCH(Q30-1,Auszahlplan!$B$5:$B$29,0))))</f>
        <v>215138.02689668717</v>
      </c>
    </row>
    <row r="31" spans="17:18" ht="14.25" customHeight="1" x14ac:dyDescent="0.3">
      <c r="Q31" s="21">
        <f>IF(Annahmen!$B$4+26&lt;=Annahmen!$B$38,Annahmen!$B$4+26,"")</f>
        <v>66</v>
      </c>
      <c r="R31" s="22">
        <f>IF(Q31="","",IF(Q31&lt;=Annahmen!$B$5,INDEX(Hochrechnung!$J$4:$J$53,MATCH(Q31,Hochrechnung!$B$4:$B$53,0)),INDEX(Auszahlplan!$G$5:$G$29,MATCH(Q31-1,Auszahlplan!$B$5:$B$29,0))))</f>
        <v>232101.44949241696</v>
      </c>
    </row>
    <row r="32" spans="17:18" ht="14.25" customHeight="1" x14ac:dyDescent="0.3">
      <c r="Q32" s="21">
        <f>IF(Annahmen!$B$4+27&lt;=Annahmen!$B$38,Annahmen!$B$4+27,"")</f>
        <v>67</v>
      </c>
      <c r="R32" s="22">
        <f>IF(Q32="","",IF(Q32&lt;=Annahmen!$B$5,INDEX(Hochrechnung!$J$4:$J$53,MATCH(Q32,Hochrechnung!$B$4:$B$53,0)),INDEX(Auszahlplan!$G$5:$G$29,MATCH(Q32-1,Auszahlplan!$B$5:$B$29,0))))</f>
        <v>250209.90311335854</v>
      </c>
    </row>
    <row r="33" spans="17:18" ht="14.25" customHeight="1" x14ac:dyDescent="0.3">
      <c r="Q33" s="21">
        <f>IF(Annahmen!$B$4+28&lt;=Annahmen!$B$38,Annahmen!$B$4+28,"")</f>
        <v>68</v>
      </c>
      <c r="R33" s="22">
        <f>IF(Q33="","",IF(Q33&lt;=Annahmen!$B$5,INDEX(Hochrechnung!$J$4:$J$53,MATCH(Q33,Hochrechnung!$B$4:$B$53,0)),INDEX(Auszahlplan!$G$5:$G$29,MATCH(Q33-1,Auszahlplan!$B$5:$B$29,0))))</f>
        <v>269540.67735371372</v>
      </c>
    </row>
    <row r="34" spans="17:18" ht="14.25" customHeight="1" x14ac:dyDescent="0.3">
      <c r="Q34" s="21">
        <f>IF(Annahmen!$B$4+29&lt;=Annahmen!$B$38,Annahmen!$B$4+29,"")</f>
        <v>69</v>
      </c>
      <c r="R34" s="22">
        <f>IF(Q34="","",IF(Q34&lt;=Annahmen!$B$5,INDEX(Hochrechnung!$J$4:$J$53,MATCH(Q34,Hochrechnung!$B$4:$B$53,0)),INDEX(Auszahlplan!$G$5:$G$29,MATCH(Q34-1,Auszahlplan!$B$5:$B$29,0))))</f>
        <v>290176.27885529288</v>
      </c>
    </row>
    <row r="35" spans="17:18" ht="14.25" customHeight="1" x14ac:dyDescent="0.3">
      <c r="Q35" s="21">
        <f>IF(Annahmen!$B$4+30&lt;=Annahmen!$B$38,Annahmen!$B$4+30,"")</f>
        <v>70</v>
      </c>
      <c r="R35" s="22">
        <f>IF(Q35="","",IF(Q35&lt;=Annahmen!$B$5,INDEX(Hochrechnung!$J$4:$J$53,MATCH(Q35,Hochrechnung!$B$4:$B$53,0)),INDEX(Auszahlplan!$G$5:$G$29,MATCH(Q35-1,Auszahlplan!$B$5:$B$29,0))))</f>
        <v>290176.27885529288</v>
      </c>
    </row>
    <row r="36" spans="17:18" ht="14.25" customHeight="1" x14ac:dyDescent="0.3">
      <c r="Q36" s="21">
        <f>IF(Annahmen!$B$4+31&lt;=Annahmen!$B$38,Annahmen!$B$4+31,"")</f>
        <v>71</v>
      </c>
      <c r="R36" s="22">
        <f>IF(Q36="","",IF(Q36&lt;=Annahmen!$B$5,INDEX(Hochrechnung!$J$4:$J$53,MATCH(Q36,Hochrechnung!$B$4:$B$53,0)),INDEX(Auszahlplan!$G$5:$G$29,MATCH(Q36-1,Auszahlplan!$B$5:$B$29,0))))</f>
        <v>282902.51841029868</v>
      </c>
    </row>
    <row r="37" spans="17:18" ht="14.25" customHeight="1" x14ac:dyDescent="0.3">
      <c r="Q37" s="21">
        <f>IF(Annahmen!$B$4+32&lt;=Annahmen!$B$38,Annahmen!$B$4+32,"")</f>
        <v>72</v>
      </c>
      <c r="R37" s="22">
        <f>IF(Q37="","",IF(Q37&lt;=Annahmen!$B$5,INDEX(Hochrechnung!$J$4:$J$53,MATCH(Q37,Hochrechnung!$B$4:$B$53,0)),INDEX(Auszahlplan!$G$5:$G$29,MATCH(Q37-1,Auszahlplan!$B$5:$B$29,0))))</f>
        <v>275137.77913526731</v>
      </c>
    </row>
    <row r="38" spans="17:18" ht="14.25" customHeight="1" x14ac:dyDescent="0.3">
      <c r="Q38" s="21">
        <f>IF(Annahmen!$B$4+33&lt;=Annahmen!$B$38,Annahmen!$B$4+33,"")</f>
        <v>73</v>
      </c>
      <c r="R38" s="22">
        <f>IF(Q38="","",IF(Q38&lt;=Annahmen!$B$5,INDEX(Hochrechnung!$J$4:$J$53,MATCH(Q38,Hochrechnung!$B$4:$B$53,0)),INDEX(Auszahlplan!$G$5:$G$29,MATCH(Q38-1,Auszahlplan!$B$5:$B$29,0))))</f>
        <v>266848.91995917133</v>
      </c>
    </row>
    <row r="39" spans="17:18" ht="14.25" customHeight="1" x14ac:dyDescent="0.3">
      <c r="Q39" s="21">
        <f>IF(Annahmen!$B$4+34&lt;=Annahmen!$B$38,Annahmen!$B$4+34,"")</f>
        <v>74</v>
      </c>
      <c r="R39" s="22">
        <f>IF(Q39="","",IF(Q39&lt;=Annahmen!$B$5,INDEX(Hochrechnung!$J$4:$J$53,MATCH(Q39,Hochrechnung!$B$4:$B$53,0)),INDEX(Auszahlplan!$G$5:$G$29,MATCH(Q39-1,Auszahlplan!$B$5:$B$29,0))))</f>
        <v>258000.56278868887</v>
      </c>
    </row>
    <row r="40" spans="17:18" ht="14.25" customHeight="1" x14ac:dyDescent="0.3">
      <c r="Q40" s="21">
        <f>IF(Annahmen!$B$4+35&lt;=Annahmen!$B$38,Annahmen!$B$4+35,"")</f>
        <v>75</v>
      </c>
      <c r="R40" s="22">
        <f>IF(Q40="","",IF(Q40&lt;=Annahmen!$B$5,INDEX(Hochrechnung!$J$4:$J$53,MATCH(Q40,Hochrechnung!$B$4:$B$53,0)),INDEX(Auszahlplan!$G$5:$G$29,MATCH(Q40-1,Auszahlplan!$B$5:$B$29,0))))</f>
        <v>248554.94150919886</v>
      </c>
    </row>
    <row r="41" spans="17:18" ht="14.25" customHeight="1" x14ac:dyDescent="0.3">
      <c r="Q41" s="21">
        <f>IF(Annahmen!$B$4+36&lt;=Annahmen!$B$38,Annahmen!$B$4+36,"")</f>
        <v>76</v>
      </c>
      <c r="R41" s="22">
        <f>IF(Q41="","",IF(Q41&lt;=Annahmen!$B$5,INDEX(Hochrechnung!$J$4:$J$53,MATCH(Q41,Hochrechnung!$B$4:$B$53,0)),INDEX(Auszahlplan!$G$5:$G$29,MATCH(Q41-1,Auszahlplan!$B$5:$B$29,0))))</f>
        <v>238471.74079334326</v>
      </c>
    </row>
    <row r="42" spans="17:18" ht="14.25" customHeight="1" x14ac:dyDescent="0.3">
      <c r="Q42" s="21">
        <f>IF(Annahmen!$B$4+37&lt;=Annahmen!$B$38,Annahmen!$B$4+37,"")</f>
        <v>77</v>
      </c>
      <c r="R42" s="22">
        <f>IF(Q42="","",IF(Q42&lt;=Annahmen!$B$5,INDEX(Hochrechnung!$J$4:$J$53,MATCH(Q42,Hochrechnung!$B$4:$B$53,0)),INDEX(Auszahlplan!$G$5:$G$29,MATCH(Q42-1,Auszahlplan!$B$5:$B$29,0))))</f>
        <v>227707.92402916742</v>
      </c>
    </row>
    <row r="43" spans="17:18" ht="14.25" customHeight="1" x14ac:dyDescent="0.3">
      <c r="Q43" s="21">
        <f>IF(Annahmen!$B$4+38&lt;=Annahmen!$B$38,Annahmen!$B$4+38,"")</f>
        <v>78</v>
      </c>
      <c r="R43" s="22">
        <f>IF(Q43="","",IF(Q43&lt;=Annahmen!$B$5,INDEX(Hochrechnung!$J$4:$J$53,MATCH(Q43,Hochrechnung!$B$4:$B$53,0)),INDEX(Auszahlplan!$G$5:$G$29,MATCH(Q43-1,Auszahlplan!$B$5:$B$29,0))))</f>
        <v>216217.54963340971</v>
      </c>
    </row>
    <row r="44" spans="17:18" ht="14.25" customHeight="1" x14ac:dyDescent="0.3">
      <c r="Q44" s="21">
        <f>IF(Annahmen!$B$4+39&lt;=Annahmen!$B$38,Annahmen!$B$4+39,"")</f>
        <v>79</v>
      </c>
      <c r="R44" s="22">
        <f>IF(Q44="","",IF(Q44&lt;=Annahmen!$B$5,INDEX(Hochrechnung!$J$4:$J$53,MATCH(Q44,Hochrechnung!$B$4:$B$53,0)),INDEX(Auszahlplan!$G$5:$G$29,MATCH(Q44-1,Auszahlplan!$B$5:$B$29,0))))</f>
        <v>203951.57496593834</v>
      </c>
    </row>
    <row r="45" spans="17:18" ht="14.25" customHeight="1" x14ac:dyDescent="0.3">
      <c r="Q45" s="21">
        <f>IF(Annahmen!$B$4+40&lt;=Annahmen!$B$38,Annahmen!$B$4+40,"")</f>
        <v>80</v>
      </c>
      <c r="R45" s="22">
        <f>IF(Q45="","",IF(Q45&lt;=Annahmen!$B$5,INDEX(Hochrechnung!$J$4:$J$53,MATCH(Q45,Hochrechnung!$B$4:$B$53,0)),INDEX(Auszahlplan!$G$5:$G$29,MATCH(Q45-1,Auszahlplan!$B$5:$B$29,0))))</f>
        <v>190857.64700841266</v>
      </c>
    </row>
    <row r="46" spans="17:18" ht="14.25" customHeight="1" x14ac:dyDescent="0.3">
      <c r="Q46" s="21">
        <f>IF(Annahmen!$B$4+41&lt;=Annahmen!$B$38,Annahmen!$B$4+41,"")</f>
        <v>81</v>
      </c>
      <c r="R46" s="22">
        <f>IF(Q46="","",IF(Q46&lt;=Annahmen!$B$5,INDEX(Hochrechnung!$J$4:$J$53,MATCH(Q46,Hochrechnung!$B$4:$B$53,0)),INDEX(Auszahlplan!$G$5:$G$29,MATCH(Q46-1,Auszahlplan!$B$5:$B$29,0))))</f>
        <v>176879.87891375402</v>
      </c>
    </row>
    <row r="47" spans="17:18" ht="14.25" customHeight="1" x14ac:dyDescent="0.3">
      <c r="Q47" s="21">
        <f>IF(Annahmen!$B$4+42&lt;=Annahmen!$B$38,Annahmen!$B$4+42,"")</f>
        <v>82</v>
      </c>
      <c r="R47" s="22">
        <f>IF(Q47="","",IF(Q47&lt;=Annahmen!$B$5,INDEX(Hochrechnung!$J$4:$J$53,MATCH(Q47,Hochrechnung!$B$4:$B$53,0)),INDEX(Auszahlplan!$G$5:$G$29,MATCH(Q47-1,Auszahlplan!$B$5:$B$29,0))))</f>
        <v>161958.6114727059</v>
      </c>
    </row>
    <row r="48" spans="17:18" ht="14.25" customHeight="1" x14ac:dyDescent="0.3">
      <c r="Q48" s="21">
        <f>IF(Annahmen!$B$4+43&lt;=Annahmen!$B$38,Annahmen!$B$4+43,"")</f>
        <v>83</v>
      </c>
      <c r="R48" s="22">
        <f>IF(Q48="","",IF(Q48&lt;=Annahmen!$B$5,INDEX(Hochrechnung!$J$4:$J$53,MATCH(Q48,Hochrechnung!$B$4:$B$53,0)),INDEX(Auszahlplan!$G$5:$G$29,MATCH(Q48-1,Auszahlplan!$B$5:$B$29,0))))</f>
        <v>146030.15847938706</v>
      </c>
    </row>
    <row r="49" spans="10:18" ht="14.25" customHeight="1" x14ac:dyDescent="0.3">
      <c r="Q49" s="21">
        <f>IF(Annahmen!$B$4+44&lt;=Annahmen!$B$38,Annahmen!$B$4+44,"")</f>
        <v>84</v>
      </c>
      <c r="R49" s="22">
        <f>IF(Q49="","",IF(Q49&lt;=Annahmen!$B$5,INDEX(Hochrechnung!$J$4:$J$53,MATCH(Q49,Hochrechnung!$B$4:$B$53,0)),INDEX(Auszahlplan!$G$5:$G$29,MATCH(Q49-1,Auszahlplan!$B$5:$B$29,0))))</f>
        <v>129026.53490901917</v>
      </c>
    </row>
    <row r="50" spans="10:18" ht="14.25" customHeight="1" x14ac:dyDescent="0.3">
      <c r="Q50" s="21">
        <f>IF(Annahmen!$B$4+45&lt;=Annahmen!$B$38,Annahmen!$B$4+45,"")</f>
        <v>85</v>
      </c>
      <c r="R50" s="22">
        <f>IF(Q50="","",IF(Q50&lt;=Annahmen!$B$5,INDEX(Hochrechnung!$J$4:$J$53,MATCH(Q50,Hochrechnung!$B$4:$B$53,0)),INDEX(Auszahlplan!$G$5:$G$29,MATCH(Q50-1,Auszahlplan!$B$5:$B$29,0))))</f>
        <v>110875.16674765147</v>
      </c>
    </row>
    <row r="51" spans="10:18" ht="14.25" customHeight="1" x14ac:dyDescent="0.3">
      <c r="Q51" s="21">
        <f>IF(Annahmen!$B$4+46&lt;=Annahmen!$B$38,Annahmen!$B$4+46,"")</f>
        <v>86</v>
      </c>
      <c r="R51" s="22">
        <f>IF(Q51="","",IF(Q51&lt;=Annahmen!$B$5,INDEX(Hochrechnung!$J$4:$J$53,MATCH(Q51,Hochrechnung!$B$4:$B$53,0)),INDEX(Auszahlplan!$G$5:$G$29,MATCH(Q51-1,Auszahlplan!$B$5:$B$29,0))))</f>
        <v>91498.581235391437</v>
      </c>
    </row>
    <row r="52" spans="10:18" ht="14.25" customHeight="1" x14ac:dyDescent="0.3">
      <c r="Q52" s="21">
        <f>IF(Annahmen!$B$4+47&lt;=Annahmen!$B$38,Annahmen!$B$4+47,"")</f>
        <v>87</v>
      </c>
      <c r="R52" s="22">
        <f>IF(Q52="","",IF(Q52&lt;=Annahmen!$B$5,INDEX(Hochrechnung!$J$4:$J$53,MATCH(Q52,Hochrechnung!$B$4:$B$53,0)),INDEX(Auszahlplan!$G$5:$G$29,MATCH(Q52-1,Auszahlplan!$B$5:$B$29,0))))</f>
        <v>70814.07620105386</v>
      </c>
    </row>
    <row r="53" spans="10:18" ht="14.25" customHeight="1" x14ac:dyDescent="0.3">
      <c r="Q53" s="21">
        <f>IF(Annahmen!$B$4+48&lt;=Annahmen!$B$38,Annahmen!$B$4+48,"")</f>
        <v>88</v>
      </c>
      <c r="R53" s="22">
        <f>IF(Q53="","",IF(Q53&lt;=Annahmen!$B$5,INDEX(Hochrechnung!$J$4:$J$53,MATCH(Q53,Hochrechnung!$B$4:$B$53,0)),INDEX(Auszahlplan!$G$5:$G$29,MATCH(Q53-1,Auszahlplan!$B$5:$B$29,0))))</f>
        <v>48733.367076898496</v>
      </c>
    </row>
    <row r="54" spans="10:18" ht="14.25" customHeight="1" x14ac:dyDescent="0.3">
      <c r="Q54" s="21">
        <f>IF(Annahmen!$B$4+49&lt;=Annahmen!$B$38,Annahmen!$B$4+49,"")</f>
        <v>89</v>
      </c>
      <c r="R54" s="22">
        <f>IF(Q54="","",IF(Q54&lt;=Annahmen!$B$5,INDEX(Hochrechnung!$J$4:$J$53,MATCH(Q54,Hochrechnung!$B$4:$B$53,0)),INDEX(Auszahlplan!$G$5:$G$29,MATCH(Q54-1,Auszahlplan!$B$5:$B$29,0))))</f>
        <v>25162.210086862648</v>
      </c>
    </row>
    <row r="55" spans="10:18" ht="14.25" customHeight="1" x14ac:dyDescent="0.3">
      <c r="Q55" s="21">
        <f>IF(Annahmen!$B$4+50&lt;=Annahmen!$B$38,Annahmen!$B$4+50,"")</f>
        <v>90</v>
      </c>
      <c r="R55" s="22">
        <f>IF(Q55="","",IF(Q55&lt;=Annahmen!$B$5,INDEX(Hochrechnung!$J$4:$J$53,MATCH(Q55,Hochrechnung!$B$4:$B$53,0)),INDEX(Auszahlplan!$G$5:$G$29,MATCH(Q55-1,Auszahlplan!$B$5:$B$29,0))))</f>
        <v>0</v>
      </c>
    </row>
    <row r="56" spans="10:18" ht="14.25" customHeight="1" x14ac:dyDescent="0.3">
      <c r="Q56" s="21" t="str">
        <f>IF(Annahmen!$B$4+51&lt;=Annahmen!$B$38,Annahmen!$B$4+51,"")</f>
        <v/>
      </c>
      <c r="R56" s="22" t="str">
        <f>IF(Q56="","",IF(Q56&lt;=Annahmen!$B$5,INDEX(Hochrechnung!$J$4:$J$53,MATCH(Q56,Hochrechnung!$B$4:$B$53,0)),INDEX(Auszahlplan!$G$5:$G$29,MATCH(Q56-1,Auszahlplan!$B$5:$B$29,0))))</f>
        <v/>
      </c>
    </row>
    <row r="57" spans="10:18" ht="14.25" customHeight="1" x14ac:dyDescent="0.3">
      <c r="Q57" s="21" t="str">
        <f>IF(Annahmen!$B$4+52&lt;=Annahmen!$B$38,Annahmen!$B$4+52,"")</f>
        <v/>
      </c>
      <c r="R57" s="22" t="str">
        <f>IF(Q57="","",IF(Q57&lt;=Annahmen!$B$5,INDEX(Hochrechnung!$J$4:$J$53,MATCH(Q57,Hochrechnung!$B$4:$B$53,0)),INDEX(Auszahlplan!$G$5:$G$29,MATCH(Q57-1,Auszahlplan!$B$5:$B$29,0))))</f>
        <v/>
      </c>
    </row>
    <row r="58" spans="10:18" ht="14.25" customHeight="1" x14ac:dyDescent="0.3">
      <c r="Q58" s="21" t="str">
        <f>IF(Annahmen!$B$4+53&lt;=Annahmen!$B$38,Annahmen!$B$4+53,"")</f>
        <v/>
      </c>
      <c r="R58" s="22" t="str">
        <f>IF(Q58="","",IF(Q58&lt;=Annahmen!$B$5,INDEX(Hochrechnung!$J$4:$J$53,MATCH(Q58,Hochrechnung!$B$4:$B$53,0)),INDEX(Auszahlplan!$G$5:$G$29,MATCH(Q58-1,Auszahlplan!$B$5:$B$29,0))))</f>
        <v/>
      </c>
    </row>
    <row r="59" spans="10:18" ht="14.25" customHeight="1" x14ac:dyDescent="0.3">
      <c r="Q59" s="21" t="str">
        <f>IF(Annahmen!$B$4+54&lt;=Annahmen!$B$38,Annahmen!$B$4+54,"")</f>
        <v/>
      </c>
      <c r="R59" s="22" t="str">
        <f>IF(Q59="","",IF(Q59&lt;=Annahmen!$B$5,INDEX(Hochrechnung!$J$4:$J$53,MATCH(Q59,Hochrechnung!$B$4:$B$53,0)),INDEX(Auszahlplan!$G$5:$G$29,MATCH(Q59-1,Auszahlplan!$B$5:$B$29,0))))</f>
        <v/>
      </c>
    </row>
    <row r="60" spans="10:18" ht="14.25" customHeight="1" x14ac:dyDescent="0.3">
      <c r="Q60" s="21" t="str">
        <f>IF(Annahmen!$B$4+55&lt;=Annahmen!$B$38,Annahmen!$B$4+55,"")</f>
        <v/>
      </c>
      <c r="R60" s="22" t="str">
        <f>IF(Q60="","",IF(Q60&lt;=Annahmen!$B$5,INDEX(Hochrechnung!$J$4:$J$53,MATCH(Q60,Hochrechnung!$B$4:$B$53,0)),INDEX(Auszahlplan!$G$5:$G$29,MATCH(Q60-1,Auszahlplan!$B$5:$B$29,0))))</f>
        <v/>
      </c>
    </row>
    <row r="61" spans="10:18" ht="14.25" customHeight="1" x14ac:dyDescent="0.3">
      <c r="J61" s="21" t="str">
        <f>IF(Annahmen!$B$4+56&lt;=Annahmen!$B$38,Annahmen!$B$4+56,"")</f>
        <v/>
      </c>
      <c r="K61" s="22" t="str">
        <f>IF(J61="","",IF(J61&lt;=Annahmen!$B$5,INDEX(Hochrechnung!$J$4:$J$53,MATCH(J61,Hochrechnung!$B$4:$B$53,0)),INDEX(Auszahlplan!$G$5:$G$29,MATCH(J61-1,Auszahlplan!$B$5:$B$29,0))))</f>
        <v/>
      </c>
    </row>
    <row r="62" spans="10:18" ht="14.25" customHeight="1" x14ac:dyDescent="0.3">
      <c r="J62" s="21" t="str">
        <f>IF(Annahmen!$B$4+57&lt;=Annahmen!$B$38,Annahmen!$B$4+57,"")</f>
        <v/>
      </c>
      <c r="K62" s="22" t="str">
        <f>IF(J62="","",IF(J62&lt;=Annahmen!$B$5,INDEX(Hochrechnung!$J$4:$J$53,MATCH(J62,Hochrechnung!$B$4:$B$53,0)),INDEX(Auszahlplan!$G$5:$G$29,MATCH(J62-1,Auszahlplan!$B$5:$B$29,0))))</f>
        <v/>
      </c>
    </row>
    <row r="63" spans="10:18" ht="14.25" customHeight="1" x14ac:dyDescent="0.3">
      <c r="J63" s="21" t="str">
        <f>IF(Annahmen!$B$4+58&lt;=Annahmen!$B$38,Annahmen!$B$4+58,"")</f>
        <v/>
      </c>
      <c r="K63" s="22" t="str">
        <f>IF(J63="","",IF(J63&lt;=Annahmen!$B$5,INDEX(Hochrechnung!$J$4:$J$53,MATCH(J63,Hochrechnung!$B$4:$B$53,0)),INDEX(Auszahlplan!$G$5:$G$29,MATCH(J63-1,Auszahlplan!$B$5:$B$29,0))))</f>
        <v/>
      </c>
    </row>
    <row r="64" spans="10:18" ht="14.25" customHeight="1" x14ac:dyDescent="0.3">
      <c r="J64" s="21" t="str">
        <f>IF(Annahmen!$B$4+59&lt;=Annahmen!$B$38,Annahmen!$B$4+59,"")</f>
        <v/>
      </c>
      <c r="K64" s="22" t="str">
        <f>IF(J64="","",IF(J64&lt;=Annahmen!$B$5,INDEX(Hochrechnung!$J$4:$J$53,MATCH(J64,Hochrechnung!$B$4:$B$53,0)),INDEX(Auszahlplan!$G$5:$G$29,MATCH(J64-1,Auszahlplan!$B$5:$B$29,0))))</f>
        <v/>
      </c>
    </row>
    <row r="65" spans="10:11" ht="14.25" customHeight="1" x14ac:dyDescent="0.3">
      <c r="J65" s="21" t="str">
        <f>IF(Annahmen!$B$4+60&lt;=Annahmen!$B$38,Annahmen!$B$4+60,"")</f>
        <v/>
      </c>
      <c r="K65" s="22" t="str">
        <f>IF(J65="","",IF(J65&lt;=Annahmen!$B$5,INDEX(Hochrechnung!$J$4:$J$53,MATCH(J65,Hochrechnung!$B$4:$B$53,0)),INDEX(Auszahlplan!$G$5:$G$29,MATCH(J65-1,Auszahlplan!$B$5:$B$29,0))))</f>
        <v/>
      </c>
    </row>
    <row r="66" spans="10:11" ht="14.25" customHeight="1" x14ac:dyDescent="0.3">
      <c r="J66" s="21" t="str">
        <f>IF(Annahmen!$B$4+61&lt;=Annahmen!$B$38,Annahmen!$B$4+61,"")</f>
        <v/>
      </c>
      <c r="K66" s="22" t="str">
        <f>IF(J66="","",IF(J66&lt;=Annahmen!$B$5,INDEX(Hochrechnung!$J$4:$J$53,MATCH(J66,Hochrechnung!$B$4:$B$53,0)),INDEX(Auszahlplan!$G$5:$G$29,MATCH(J66-1,Auszahlplan!$B$5:$B$29,0))))</f>
        <v/>
      </c>
    </row>
    <row r="67" spans="10:11" ht="14.25" customHeight="1" x14ac:dyDescent="0.3">
      <c r="J67" s="21" t="str">
        <f>IF(Annahmen!$B$4+62&lt;=Annahmen!$B$38,Annahmen!$B$4+62,"")</f>
        <v/>
      </c>
      <c r="K67" s="22" t="str">
        <f>IF(J67="","",IF(J67&lt;=Annahmen!$B$5,INDEX(Hochrechnung!$J$4:$J$53,MATCH(J67,Hochrechnung!$B$4:$B$53,0)),INDEX(Auszahlplan!$G$5:$G$29,MATCH(J67-1,Auszahlplan!$B$5:$B$29,0))))</f>
        <v/>
      </c>
    </row>
    <row r="68" spans="10:11" ht="14.25" customHeight="1" x14ac:dyDescent="0.3">
      <c r="J68" s="21" t="str">
        <f>IF(Annahmen!$B$4+63&lt;=Annahmen!$B$38,Annahmen!$B$4+63,"")</f>
        <v/>
      </c>
      <c r="K68" s="22" t="str">
        <f>IF(J68="","",IF(J68&lt;=Annahmen!$B$5,INDEX(Hochrechnung!$J$4:$J$53,MATCH(J68,Hochrechnung!$B$4:$B$53,0)),INDEX(Auszahlplan!$G$5:$G$29,MATCH(J68-1,Auszahlplan!$B$5:$B$29,0))))</f>
        <v/>
      </c>
    </row>
    <row r="69" spans="10:11" ht="14.25" customHeight="1" x14ac:dyDescent="0.3">
      <c r="J69" s="21" t="str">
        <f>IF(Annahmen!$B$4+64&lt;=Annahmen!$B$38,Annahmen!$B$4+64,"")</f>
        <v/>
      </c>
      <c r="K69" s="22" t="str">
        <f>IF(J69="","",IF(J69&lt;=Annahmen!$B$5,INDEX(Hochrechnung!$J$4:$J$53,MATCH(J69,Hochrechnung!$B$4:$B$53,0)),INDEX(Auszahlplan!$G$5:$G$29,MATCH(J69-1,Auszahlplan!$B$5:$B$29,0))))</f>
        <v/>
      </c>
    </row>
    <row r="70" spans="10:11" ht="14.25" customHeight="1" x14ac:dyDescent="0.3">
      <c r="J70" s="21" t="str">
        <f>IF(Annahmen!$B$4+65&lt;=Annahmen!$B$38,Annahmen!$B$4+65,"")</f>
        <v/>
      </c>
      <c r="K70" s="22" t="str">
        <f>IF(J70="","",IF(J70&lt;=Annahmen!$B$5,INDEX(Hochrechnung!$J$4:$J$53,MATCH(J70,Hochrechnung!$B$4:$B$53,0)),INDEX(Auszahlplan!$G$5:$G$29,MATCH(J70-1,Auszahlplan!$B$5:$B$29,0))))</f>
        <v/>
      </c>
    </row>
    <row r="71" spans="10:11" ht="14.25" customHeight="1" x14ac:dyDescent="0.3">
      <c r="J71" s="21" t="str">
        <f>IF(Annahmen!$B$4+66&lt;=Annahmen!$B$38,Annahmen!$B$4+66,"")</f>
        <v/>
      </c>
      <c r="K71" s="22" t="str">
        <f>IF(J71="","",IF(J71&lt;=Annahmen!$B$5,INDEX(Hochrechnung!$J$4:$J$53,MATCH(J71,Hochrechnung!$B$4:$B$53,0)),INDEX(Auszahlplan!$G$5:$G$29,MATCH(J71-1,Auszahlplan!$B$5:$B$29,0))))</f>
        <v/>
      </c>
    </row>
    <row r="72" spans="10:11" ht="14.25" customHeight="1" x14ac:dyDescent="0.3">
      <c r="J72" s="21" t="str">
        <f>IF(Annahmen!$B$4+67&lt;=Annahmen!$B$38,Annahmen!$B$4+67,"")</f>
        <v/>
      </c>
      <c r="K72" s="22" t="str">
        <f>IF(J72="","",IF(J72&lt;=Annahmen!$B$5,INDEX(Hochrechnung!$J$4:$J$53,MATCH(J72,Hochrechnung!$B$4:$B$53,0)),INDEX(Auszahlplan!$G$5:$G$29,MATCH(J72-1,Auszahlplan!$B$5:$B$29,0))))</f>
        <v/>
      </c>
    </row>
    <row r="73" spans="10:11" ht="14.25" customHeight="1" x14ac:dyDescent="0.3">
      <c r="J73" s="21" t="str">
        <f>IF(Annahmen!$B$4+68&lt;=Annahmen!$B$38,Annahmen!$B$4+68,"")</f>
        <v/>
      </c>
      <c r="K73" s="22" t="str">
        <f>IF(J73="","",IF(J73&lt;=Annahmen!$B$5,INDEX(Hochrechnung!$J$4:$J$53,MATCH(J73,Hochrechnung!$B$4:$B$53,0)),INDEX(Auszahlplan!$G$5:$G$29,MATCH(J73-1,Auszahlplan!$B$5:$B$29,0))))</f>
        <v/>
      </c>
    </row>
    <row r="74" spans="10:11" ht="14.25" customHeight="1" x14ac:dyDescent="0.3">
      <c r="J74" s="21" t="str">
        <f>IF(Annahmen!$B$4+69&lt;=Annahmen!$B$38,Annahmen!$B$4+69,"")</f>
        <v/>
      </c>
      <c r="K74" s="22" t="str">
        <f>IF(J74="","",IF(J74&lt;=Annahmen!$B$5,INDEX(Hochrechnung!$J$4:$J$53,MATCH(J74,Hochrechnung!$B$4:$B$53,0)),INDEX(Auszahlplan!$G$5:$G$29,MATCH(J74-1,Auszahlplan!$B$5:$B$29,0))))</f>
        <v/>
      </c>
    </row>
  </sheetData>
  <mergeCells count="2">
    <mergeCell ref="A2:H2"/>
    <mergeCell ref="A1:H1"/>
  </mergeCells>
  <pageMargins left="0.75" right="0.75" top="1" bottom="1" header="0.511811023622047" footer="0.511811023622047"/>
  <pageSetup paperSize="9"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Legende</vt:lpstr>
      <vt:lpstr>Annahmen</vt:lpstr>
      <vt:lpstr>Hochrechnung</vt:lpstr>
      <vt:lpstr>Auszahlplan</vt:lpstr>
      <vt:lpstr>Grafik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Manfred Hennig</cp:lastModifiedBy>
  <cp:revision>6</cp:revision>
  <dcterms:created xsi:type="dcterms:W3CDTF">2026-08-17T14:16:50Z</dcterms:created>
  <dcterms:modified xsi:type="dcterms:W3CDTF">2026-08-26T09:48:02Z</dcterms:modified>
  <dc:language>en-US</dc:language>
</cp:coreProperties>
</file>